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charts/chart30.xml" ContentType="application/vnd.openxmlformats-officedocument.drawingml.chart+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charts/chart32.xml" ContentType="application/vnd.openxmlformats-officedocument.drawingml.chart+xml"/>
  <Override PartName="/xl/charts/style30.xml" ContentType="application/vnd.ms-office.chartstyle+xml"/>
  <Override PartName="/xl/charts/colors30.xml" ContentType="application/vnd.ms-office.chartcolorstyle+xml"/>
  <Override PartName="/xl/charts/chart33.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xml" ContentType="application/vnd.openxmlformats-officedocument.drawingml.chartshapes+xml"/>
  <Override PartName="/xl/charts/chart34.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xml" ContentType="application/vnd.openxmlformats-officedocument.drawingml.chartshapes+xml"/>
  <Override PartName="/xl/charts/chart35.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xml" ContentType="application/vnd.openxmlformats-officedocument.drawingml.chartshapes+xml"/>
  <Override PartName="/xl/charts/chart36.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7.xml" ContentType="application/vnd.openxmlformats-officedocument.drawingml.chartshapes+xml"/>
  <Override PartName="/xl/charts/chart37.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8.xml" ContentType="application/vnd.openxmlformats-officedocument.drawingml.chartshapes+xml"/>
  <Override PartName="/xl/charts/chart38.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9.xml" ContentType="application/vnd.openxmlformats-officedocument.drawingml.chartshapes+xml"/>
  <Override PartName="/xl/charts/chart39.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10.xml" ContentType="application/vnd.openxmlformats-officedocument.drawingml.chartshapes+xml"/>
  <Override PartName="/xl/charts/chart40.xml" ContentType="application/vnd.openxmlformats-officedocument.drawingml.chart+xml"/>
  <Override PartName="/xl/charts/style38.xml" ContentType="application/vnd.ms-office.chartstyle+xml"/>
  <Override PartName="/xl/charts/colors38.xml" ContentType="application/vnd.ms-office.chartcolorstyle+xml"/>
  <Override PartName="/xl/charts/chart41.xml" ContentType="application/vnd.openxmlformats-officedocument.drawingml.chart+xml"/>
  <Override PartName="/xl/charts/style39.xml" ContentType="application/vnd.ms-office.chartstyle+xml"/>
  <Override PartName="/xl/charts/colors39.xml" ContentType="application/vnd.ms-office.chartcolorstyle+xml"/>
  <Override PartName="/xl/charts/chart42.xml" ContentType="application/vnd.openxmlformats-officedocument.drawingml.chart+xml"/>
  <Override PartName="/xl/charts/style40.xml" ContentType="application/vnd.ms-office.chartstyle+xml"/>
  <Override PartName="/xl/charts/colors40.xml" ContentType="application/vnd.ms-office.chartcolorstyle+xml"/>
  <Override PartName="/xl/charts/chart43.xml" ContentType="application/vnd.openxmlformats-officedocument.drawingml.chart+xml"/>
  <Override PartName="/xl/charts/style41.xml" ContentType="application/vnd.ms-office.chartstyle+xml"/>
  <Override PartName="/xl/charts/colors41.xml" ContentType="application/vnd.ms-office.chartcolorstyle+xml"/>
  <Override PartName="/xl/charts/chart44.xml" ContentType="application/vnd.openxmlformats-officedocument.drawingml.chart+xml"/>
  <Override PartName="/xl/charts/style42.xml" ContentType="application/vnd.ms-office.chartstyle+xml"/>
  <Override PartName="/xl/charts/colors42.xml" ContentType="application/vnd.ms-office.chartcolorstyle+xml"/>
  <Override PartName="/xl/charts/chart45.xml" ContentType="application/vnd.openxmlformats-officedocument.drawingml.chart+xml"/>
  <Override PartName="/xl/charts/style43.xml" ContentType="application/vnd.ms-office.chartstyle+xml"/>
  <Override PartName="/xl/charts/colors43.xml" ContentType="application/vnd.ms-office.chartcolorstyle+xml"/>
  <Override PartName="/xl/charts/chart46.xml" ContentType="application/vnd.openxmlformats-officedocument.drawingml.chart+xml"/>
  <Override PartName="/xl/charts/style44.xml" ContentType="application/vnd.ms-office.chartstyle+xml"/>
  <Override PartName="/xl/charts/colors44.xml" ContentType="application/vnd.ms-office.chartcolorstyle+xml"/>
  <Override PartName="/xl/charts/chart47.xml" ContentType="application/vnd.openxmlformats-officedocument.drawingml.chart+xml"/>
  <Override PartName="/xl/charts/style45.xml" ContentType="application/vnd.ms-office.chartstyle+xml"/>
  <Override PartName="/xl/charts/colors45.xml" ContentType="application/vnd.ms-office.chartcolorstyle+xml"/>
  <Override PartName="/xl/charts/chart48.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11.xml" ContentType="application/vnd.openxmlformats-officedocument.drawing+xml"/>
  <Override PartName="/xl/charts/chart49.xml" ContentType="application/vnd.openxmlformats-officedocument.drawingml.chart+xml"/>
  <Override PartName="/xl/charts/style47.xml" ContentType="application/vnd.ms-office.chartstyle+xml"/>
  <Override PartName="/xl/charts/colors47.xml" ContentType="application/vnd.ms-office.chartcolorstyle+xml"/>
  <Override PartName="/xl/charts/chart50.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1.xml" ContentType="application/vnd.openxmlformats-officedocument.themeOverride+xml"/>
  <Override PartName="/xl/drawings/drawing12.xml" ContentType="application/vnd.openxmlformats-officedocument.drawingml.chartshapes+xml"/>
  <Override PartName="/xl/charts/chart51.xml" ContentType="application/vnd.openxmlformats-officedocument.drawingml.chart+xml"/>
  <Override PartName="/xl/charts/chart52.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13.xml" ContentType="application/vnd.openxmlformats-officedocument.drawingml.chartshapes+xml"/>
  <Override PartName="/xl/charts/chart53.xml" ContentType="application/vnd.openxmlformats-officedocument.drawingml.chart+xml"/>
  <Override PartName="/xl/charts/style50.xml" ContentType="application/vnd.ms-office.chartstyle+xml"/>
  <Override PartName="/xl/charts/colors50.xml" ContentType="application/vnd.ms-office.chartcolorstyle+xml"/>
  <Override PartName="/xl/charts/chart54.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4.xml" ContentType="application/vnd.openxmlformats-officedocument.drawingml.chartshapes+xml"/>
  <Override PartName="/xl/charts/chart55.xml" ContentType="application/vnd.openxmlformats-officedocument.drawingml.chart+xml"/>
  <Override PartName="/xl/charts/style52.xml" ContentType="application/vnd.ms-office.chartstyle+xml"/>
  <Override PartName="/xl/charts/colors52.xml" ContentType="application/vnd.ms-office.chartcolorstyle+xml"/>
  <Override PartName="/xl/charts/chart56.xml" ContentType="application/vnd.openxmlformats-officedocument.drawingml.chart+xml"/>
  <Override PartName="/xl/charts/style53.xml" ContentType="application/vnd.ms-office.chartstyle+xml"/>
  <Override PartName="/xl/charts/colors53.xml" ContentType="application/vnd.ms-office.chartcolorstyle+xml"/>
  <Override PartName="/xl/charts/chart57.xml" ContentType="application/vnd.openxmlformats-officedocument.drawingml.chart+xml"/>
  <Override PartName="/xl/charts/style54.xml" ContentType="application/vnd.ms-office.chartstyle+xml"/>
  <Override PartName="/xl/charts/colors54.xml" ContentType="application/vnd.ms-office.chartcolorstyle+xml"/>
  <Override PartName="/xl/charts/chart58.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15.xml" ContentType="application/vnd.openxmlformats-officedocument.drawingml.chartshapes+xml"/>
  <Override PartName="/xl/charts/chart59.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16.xml" ContentType="application/vnd.openxmlformats-officedocument.drawingml.chartshapes+xml"/>
  <Override PartName="/xl/charts/chart60.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17.xml" ContentType="application/vnd.openxmlformats-officedocument.drawingml.chartshapes+xml"/>
  <Override PartName="/xl/charts/chart61.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18.xml" ContentType="application/vnd.openxmlformats-officedocument.drawingml.chartshapes+xml"/>
  <Override PartName="/xl/charts/chart62.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19.xml" ContentType="application/vnd.openxmlformats-officedocument.drawingml.chartshapes+xml"/>
  <Override PartName="/xl/charts/chart63.xml" ContentType="application/vnd.openxmlformats-officedocument.drawingml.chart+xml"/>
  <Override PartName="/xl/charts/style60.xml" ContentType="application/vnd.ms-office.chartstyle+xml"/>
  <Override PartName="/xl/charts/colors60.xml" ContentType="application/vnd.ms-office.chartcolorstyle+xml"/>
  <Override PartName="/xl/charts/chart64.xml" ContentType="application/vnd.openxmlformats-officedocument.drawingml.chart+xml"/>
  <Override PartName="/xl/charts/style61.xml" ContentType="application/vnd.ms-office.chartstyle+xml"/>
  <Override PartName="/xl/charts/colors61.xml" ContentType="application/vnd.ms-office.chartcolorstyle+xml"/>
  <Override PartName="/xl/charts/chart65.xml" ContentType="application/vnd.openxmlformats-officedocument.drawingml.chart+xml"/>
  <Override PartName="/xl/charts/style62.xml" ContentType="application/vnd.ms-office.chartstyle+xml"/>
  <Override PartName="/xl/charts/colors62.xml" ContentType="application/vnd.ms-office.chartcolorstyle+xml"/>
  <Override PartName="/xl/charts/chart66.xml" ContentType="application/vnd.openxmlformats-officedocument.drawingml.chart+xml"/>
  <Override PartName="/xl/charts/style63.xml" ContentType="application/vnd.ms-office.chartstyle+xml"/>
  <Override PartName="/xl/charts/colors63.xml" ContentType="application/vnd.ms-office.chartcolorstyle+xml"/>
  <Override PartName="/xl/charts/chart67.xml" ContentType="application/vnd.openxmlformats-officedocument.drawingml.chart+xml"/>
  <Override PartName="/xl/charts/chart68.xml" ContentType="application/vnd.openxmlformats-officedocument.drawingml.chart+xml"/>
  <Override PartName="/xl/charts/style64.xml" ContentType="application/vnd.ms-office.chartstyle+xml"/>
  <Override PartName="/xl/charts/colors64.xml" ContentType="application/vnd.ms-office.chartcolorstyle+xml"/>
  <Override PartName="/xl/charts/chart69.xml" ContentType="application/vnd.openxmlformats-officedocument.drawingml.chart+xml"/>
  <Override PartName="/xl/charts/style65.xml" ContentType="application/vnd.ms-office.chartstyle+xml"/>
  <Override PartName="/xl/charts/colors65.xml" ContentType="application/vnd.ms-office.chartcolorstyle+xml"/>
  <Override PartName="/xl/charts/chart70.xml" ContentType="application/vnd.openxmlformats-officedocument.drawingml.chart+xml"/>
  <Override PartName="/xl/charts/style66.xml" ContentType="application/vnd.ms-office.chartstyle+xml"/>
  <Override PartName="/xl/charts/colors66.xml" ContentType="application/vnd.ms-office.chartcolorstyle+xml"/>
  <Override PartName="/xl/charts/chart71.xml" ContentType="application/vnd.openxmlformats-officedocument.drawingml.chart+xml"/>
  <Override PartName="/xl/charts/style67.xml" ContentType="application/vnd.ms-office.chartstyle+xml"/>
  <Override PartName="/xl/charts/colors67.xml" ContentType="application/vnd.ms-office.chartcolorstyle+xml"/>
  <Override PartName="/xl/charts/chart72.xml" ContentType="application/vnd.openxmlformats-officedocument.drawingml.chart+xml"/>
  <Override PartName="/xl/charts/style68.xml" ContentType="application/vnd.ms-office.chartstyle+xml"/>
  <Override PartName="/xl/charts/colors68.xml" ContentType="application/vnd.ms-office.chartcolorstyle+xml"/>
  <Override PartName="/xl/charts/chart73.xml" ContentType="application/vnd.openxmlformats-officedocument.drawingml.chart+xml"/>
  <Override PartName="/xl/charts/chart74.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20.xml" ContentType="application/vnd.openxmlformats-officedocument.drawingml.chartshapes+xml"/>
  <Override PartName="/xl/charts/chart75.xml" ContentType="application/vnd.openxmlformats-officedocument.drawingml.chart+xml"/>
  <Override PartName="/xl/charts/chart76.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21.xml" ContentType="application/vnd.openxmlformats-officedocument.drawingml.chartshapes+xml"/>
  <Override PartName="/xl/charts/chart77.xml" ContentType="application/vnd.openxmlformats-officedocument.drawingml.chart+xml"/>
  <Override PartName="/xl/charts/chart78.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22.xml" ContentType="application/vnd.openxmlformats-officedocument.drawingml.chartshapes+xml"/>
  <Override PartName="/xl/charts/chart79.xml" ContentType="application/vnd.openxmlformats-officedocument.drawingml.chart+xml"/>
  <Override PartName="/xl/charts/chart80.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23.xml" ContentType="application/vnd.openxmlformats-officedocument.drawingml.chartshapes+xml"/>
  <Override PartName="/xl/charts/chart81.xml" ContentType="application/vnd.openxmlformats-officedocument.drawingml.chart+xml"/>
  <Override PartName="/xl/charts/style73.xml" ContentType="application/vnd.ms-office.chartstyle+xml"/>
  <Override PartName="/xl/charts/colors73.xml" ContentType="application/vnd.ms-office.chartcolorstyle+xml"/>
  <Override PartName="/xl/charts/chart82.xml" ContentType="application/vnd.openxmlformats-officedocument.drawingml.chart+xml"/>
  <Override PartName="/xl/charts/chart83.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24.xml" ContentType="application/vnd.openxmlformats-officedocument.drawingml.chartshapes+xml"/>
  <Override PartName="/xl/charts/chart84.xml" ContentType="application/vnd.openxmlformats-officedocument.drawingml.chart+xml"/>
  <Override PartName="/xl/charts/style75.xml" ContentType="application/vnd.ms-office.chartstyle+xml"/>
  <Override PartName="/xl/charts/colors75.xml" ContentType="application/vnd.ms-office.chartcolorstyle+xml"/>
  <Override PartName="/xl/theme/themeOverride2.xml" ContentType="application/vnd.openxmlformats-officedocument.themeOverride+xml"/>
  <Override PartName="/xl/drawings/drawing25.xml" ContentType="application/vnd.openxmlformats-officedocument.drawingml.chartshapes+xml"/>
  <Override PartName="/xl/charts/chart85.xml" ContentType="application/vnd.openxmlformats-officedocument.drawingml.chart+xml"/>
  <Override PartName="/xl/charts/style76.xml" ContentType="application/vnd.ms-office.chartstyle+xml"/>
  <Override PartName="/xl/charts/colors76.xml" ContentType="application/vnd.ms-office.chartcolorstyle+xml"/>
  <Override PartName="/xl/theme/themeOverride3.xml" ContentType="application/vnd.openxmlformats-officedocument.themeOverride+xml"/>
  <Override PartName="/xl/drawings/drawing26.xml" ContentType="application/vnd.openxmlformats-officedocument.drawingml.chartshapes+xml"/>
  <Override PartName="/xl/charts/chart86.xml" ContentType="application/vnd.openxmlformats-officedocument.drawingml.chart+xml"/>
  <Override PartName="/xl/charts/style77.xml" ContentType="application/vnd.ms-office.chartstyle+xml"/>
  <Override PartName="/xl/charts/colors77.xml" ContentType="application/vnd.ms-office.chartcolorstyle+xml"/>
  <Override PartName="/xl/theme/themeOverride4.xml" ContentType="application/vnd.openxmlformats-officedocument.themeOverride+xml"/>
  <Override PartName="/xl/drawings/drawing27.xml" ContentType="application/vnd.openxmlformats-officedocument.drawingml.chartshapes+xml"/>
  <Override PartName="/xl/charts/chart87.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28.xml" ContentType="application/vnd.openxmlformats-officedocument.drawingml.chartshapes+xml"/>
  <Override PartName="/xl/charts/chart88.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29.xml" ContentType="application/vnd.openxmlformats-officedocument.drawingml.chartshapes+xml"/>
  <Override PartName="/xl/charts/chart89.xml" ContentType="application/vnd.openxmlformats-officedocument.drawingml.chart+xml"/>
  <Override PartName="/xl/charts/style80.xml" ContentType="application/vnd.ms-office.chartstyle+xml"/>
  <Override PartName="/xl/charts/colors80.xml" ContentType="application/vnd.ms-office.chartcolorstyle+xml"/>
  <Override PartName="/xl/charts/chart90.xml" ContentType="application/vnd.openxmlformats-officedocument.drawingml.chart+xml"/>
  <Override PartName="/xl/charts/style81.xml" ContentType="application/vnd.ms-office.chartstyle+xml"/>
  <Override PartName="/xl/charts/colors81.xml" ContentType="application/vnd.ms-office.chartcolorstyle+xml"/>
  <Override PartName="/xl/charts/chart91.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30.xml" ContentType="application/vnd.openxmlformats-officedocument.drawingml.chartshapes+xml"/>
  <Override PartName="/xl/charts/chart92.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31.xml" ContentType="application/vnd.openxmlformats-officedocument.drawingml.chartshapes+xml"/>
  <Override PartName="/xl/charts/chart93.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32.xml" ContentType="application/vnd.openxmlformats-officedocument.drawingml.chartshapes+xml"/>
  <Override PartName="/xl/charts/chart94.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33.xml" ContentType="application/vnd.openxmlformats-officedocument.drawingml.chartshapes+xml"/>
  <Override PartName="/xl/charts/chart95.xml" ContentType="application/vnd.openxmlformats-officedocument.drawingml.chart+xml"/>
  <Override PartName="/xl/charts/style86.xml" ContentType="application/vnd.ms-office.chartstyle+xml"/>
  <Override PartName="/xl/charts/colors86.xml" ContentType="application/vnd.ms-office.chartcolorstyle+xml"/>
  <Override PartName="/xl/charts/chart96.xml" ContentType="application/vnd.openxmlformats-officedocument.drawingml.chart+xml"/>
  <Override PartName="/xl/charts/style87.xml" ContentType="application/vnd.ms-office.chartstyle+xml"/>
  <Override PartName="/xl/charts/colors87.xml" ContentType="application/vnd.ms-office.chartcolorstyle+xml"/>
  <Override PartName="/xl/charts/chart97.xml" ContentType="application/vnd.openxmlformats-officedocument.drawingml.chart+xml"/>
  <Override PartName="/xl/charts/style88.xml" ContentType="application/vnd.ms-office.chartstyle+xml"/>
  <Override PartName="/xl/charts/colors88.xml" ContentType="application/vnd.ms-office.chartcolorstyle+xml"/>
  <Override PartName="/xl/charts/chart98.xml" ContentType="application/vnd.openxmlformats-officedocument.drawingml.chart+xml"/>
  <Override PartName="/xl/charts/style89.xml" ContentType="application/vnd.ms-office.chartstyle+xml"/>
  <Override PartName="/xl/charts/colors89.xml" ContentType="application/vnd.ms-office.chartcolorstyle+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style90.xml" ContentType="application/vnd.ms-office.chartstyle+xml"/>
  <Override PartName="/xl/charts/colors90.xml" ContentType="application/vnd.ms-office.chartcolorstyle+xml"/>
  <Override PartName="/xl/charts/chart107.xml" ContentType="application/vnd.openxmlformats-officedocument.drawingml.chart+xml"/>
  <Override PartName="/xl/charts/style91.xml" ContentType="application/vnd.ms-office.chartstyle+xml"/>
  <Override PartName="/xl/charts/colors91.xml" ContentType="application/vnd.ms-office.chartcolorstyle+xml"/>
  <Override PartName="/xl/charts/chart108.xml" ContentType="application/vnd.openxmlformats-officedocument.drawingml.chart+xml"/>
  <Override PartName="/xl/charts/style92.xml" ContentType="application/vnd.ms-office.chartstyle+xml"/>
  <Override PartName="/xl/charts/colors92.xml" ContentType="application/vnd.ms-office.chartcolorstyle+xml"/>
  <Override PartName="/xl/charts/chart109.xml" ContentType="application/vnd.openxmlformats-officedocument.drawingml.chart+xml"/>
  <Override PartName="/xl/charts/style93.xml" ContentType="application/vnd.ms-office.chartstyle+xml"/>
  <Override PartName="/xl/charts/colors93.xml" ContentType="application/vnd.ms-office.chartcolorstyle+xml"/>
  <Override PartName="/xl/charts/chart110.xml" ContentType="application/vnd.openxmlformats-officedocument.drawingml.chart+xml"/>
  <Override PartName="/xl/charts/style94.xml" ContentType="application/vnd.ms-office.chartstyle+xml"/>
  <Override PartName="/xl/charts/colors94.xml" ContentType="application/vnd.ms-office.chartcolorstyle+xml"/>
  <Override PartName="/xl/charts/chart111.xml" ContentType="application/vnd.openxmlformats-officedocument.drawingml.chart+xml"/>
  <Override PartName="/xl/charts/style95.xml" ContentType="application/vnd.ms-office.chartstyle+xml"/>
  <Override PartName="/xl/charts/colors95.xml" ContentType="application/vnd.ms-office.chartcolorstyle+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5.xml" ContentType="application/vnd.openxmlformats-officedocument.themeOverride+xml"/>
  <Override PartName="/xl/drawings/drawing34.xml" ContentType="application/vnd.openxmlformats-officedocument.drawingml.chartshapes+xml"/>
  <Override PartName="/xl/charts/chart115.xml" ContentType="application/vnd.openxmlformats-officedocument.drawingml.chart+xml"/>
  <Override PartName="/xl/charts/style97.xml" ContentType="application/vnd.ms-office.chartstyle+xml"/>
  <Override PartName="/xl/charts/colors97.xml" ContentType="application/vnd.ms-office.chartcolorstyle+xml"/>
  <Override PartName="/xl/charts/chart116.xml" ContentType="application/vnd.openxmlformats-officedocument.drawingml.chart+xml"/>
  <Override PartName="/xl/charts/style98.xml" ContentType="application/vnd.ms-office.chartstyle+xml"/>
  <Override PartName="/xl/charts/colors98.xml" ContentType="application/vnd.ms-office.chartcolorstyle+xml"/>
  <Override PartName="/xl/charts/chart117.xml" ContentType="application/vnd.openxmlformats-officedocument.drawingml.chart+xml"/>
  <Override PartName="/xl/charts/style99.xml" ContentType="application/vnd.ms-office.chartstyle+xml"/>
  <Override PartName="/xl/charts/colors99.xml" ContentType="application/vnd.ms-office.chartcolorstyle+xml"/>
  <Override PartName="/xl/charts/chart118.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24.xml" ContentType="application/vnd.openxmlformats-officedocument.drawingml.chart+xml"/>
  <Override PartName="/xl/charts/chart125.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6.xml" ContentType="application/vnd.openxmlformats-officedocument.themeOverride+xml"/>
  <Override PartName="/xl/drawings/drawing35.xml" ContentType="application/vnd.openxmlformats-officedocument.drawingml.chartshapes+xml"/>
  <Override PartName="/xl/charts/chart126.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27.xml" ContentType="application/vnd.openxmlformats-officedocument.drawingml.chart+xml"/>
  <Override PartName="/xl/charts/style104.xml" ContentType="application/vnd.ms-office.chartstyle+xml"/>
  <Override PartName="/xl/charts/colors104.xml" ContentType="application/vnd.ms-office.chartcolorstyle+xml"/>
  <Override PartName="/xl/theme/themeOverride7.xml" ContentType="application/vnd.openxmlformats-officedocument.themeOverride+xml"/>
  <Override PartName="/xl/drawings/drawing36.xml" ContentType="application/vnd.openxmlformats-officedocument.drawingml.chartshapes+xml"/>
  <Override PartName="/xl/charts/chart128.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37.xml" ContentType="application/vnd.openxmlformats-officedocument.drawingml.chartshapes+xml"/>
  <Override PartName="/xl/charts/chart129.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30.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34.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35.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36.xml" ContentType="application/vnd.openxmlformats-officedocument.drawingml.chart+xml"/>
  <Override PartName="/xl/charts/chart137.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38.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39.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40.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41.xml" ContentType="application/vnd.openxmlformats-officedocument.drawingml.chart+xml"/>
  <Override PartName="/xl/charts/style115.xml" ContentType="application/vnd.ms-office.chartstyle+xml"/>
  <Override PartName="/xl/charts/colors115.xml" ContentType="application/vnd.ms-office.chartcolorstyle+xml"/>
  <Override PartName="/xl/theme/themeOverride8.xml" ContentType="application/vnd.openxmlformats-officedocument.themeOverride+xml"/>
  <Override PartName="/xl/drawings/drawing38.xml" ContentType="application/vnd.openxmlformats-officedocument.drawingml.chartshapes+xml"/>
  <Override PartName="/xl/charts/chart142.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43.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44.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45.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39.xml" ContentType="application/vnd.openxmlformats-officedocument.drawingml.chartshapes+xml"/>
  <Override PartName="/xl/charts/chart146.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47.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48.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49.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50.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51.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52.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53.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54.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40.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ublicadministrationis.sharepoint.com/sites/svilosunarbkhalds-ust/Shared Documents/Miðlun/2. Miðlun 2027 skila/1. NIR Proxy/"/>
    </mc:Choice>
  </mc:AlternateContent>
  <xr:revisionPtr revIDLastSave="1102" documentId="120_S{F26BE513-7BCA-55BE-87A2-F3889FBA6877}" xr6:coauthVersionLast="47" xr6:coauthVersionMax="47" xr10:uidLastSave="{8FDD9F7A-864A-455D-856A-2D2A95BF860B}"/>
  <bookViews>
    <workbookView xWindow="-108" yWindow="-108" windowWidth="41496" windowHeight="16776" xr2:uid="{B49A5029-0347-453B-904A-515462F2680A}"/>
  </bookViews>
  <sheets>
    <sheet name="Upplýsingar | Information" sheetId="2" r:id="rId1"/>
    <sheet name="Skuldbindingar | Obligations" sheetId="6" r:id="rId2"/>
    <sheet name="Losun | Emissions" sheetId="3" r:id="rId3"/>
    <sheet name="Talnagögn | Numerical Data" sheetId="5" r:id="rId4"/>
  </sheets>
  <definedNames>
    <definedName name="°B1">'Talnagögn | Numerical Data'!$G$261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297" i="5" l="1"/>
  <c r="P831" i="3"/>
  <c r="P726" i="3"/>
  <c r="P621" i="3"/>
  <c r="P484" i="3"/>
  <c r="P463" i="3"/>
  <c r="P359" i="3"/>
  <c r="P245" i="3"/>
  <c r="P145" i="3"/>
  <c r="P17" i="3"/>
  <c r="U66" i="6"/>
  <c r="E66" i="6"/>
  <c r="M356" i="6"/>
  <c r="M273" i="6"/>
  <c r="M117" i="6"/>
  <c r="O831" i="3"/>
  <c r="O726" i="3"/>
  <c r="O621" i="3"/>
  <c r="O484" i="3"/>
  <c r="O463" i="3"/>
  <c r="O359" i="3"/>
  <c r="O245" i="3"/>
  <c r="O145" i="3"/>
  <c r="Y95" i="3"/>
  <c r="E95" i="3"/>
  <c r="Y211" i="3"/>
  <c r="E211" i="3"/>
  <c r="Y331" i="3"/>
  <c r="E331" i="3"/>
  <c r="Y433" i="3"/>
  <c r="E433" i="3"/>
  <c r="Y593" i="3"/>
  <c r="E593" i="3"/>
  <c r="Y698" i="3"/>
  <c r="E698" i="3"/>
  <c r="Y802" i="3"/>
  <c r="E802" i="3"/>
  <c r="Y882" i="3"/>
  <c r="E882" i="3"/>
  <c r="H199" i="5"/>
  <c r="H198" i="5"/>
  <c r="H197" i="5"/>
  <c r="H196" i="5"/>
  <c r="F199" i="5"/>
  <c r="F198" i="5"/>
  <c r="F197" i="5"/>
  <c r="F196" i="5"/>
  <c r="F159" i="5"/>
  <c r="F164" i="5"/>
  <c r="F169" i="5"/>
  <c r="F174" i="5"/>
  <c r="F153" i="5"/>
  <c r="F152" i="5"/>
  <c r="I37" i="5"/>
  <c r="J37" i="5"/>
  <c r="K37" i="5"/>
  <c r="L37" i="5"/>
  <c r="M37" i="5"/>
  <c r="N37" i="5"/>
  <c r="O37" i="5"/>
  <c r="P37" i="5"/>
  <c r="Q37" i="5"/>
  <c r="R37" i="5"/>
  <c r="S37" i="5"/>
  <c r="T37" i="5"/>
  <c r="U37" i="5"/>
  <c r="V37" i="5"/>
  <c r="W37" i="5"/>
  <c r="X37" i="5"/>
  <c r="Y37" i="5"/>
  <c r="Z37" i="5"/>
  <c r="AA37" i="5"/>
  <c r="AB37" i="5"/>
  <c r="AC37" i="5"/>
  <c r="AD37" i="5"/>
  <c r="AE37" i="5"/>
  <c r="AF37" i="5"/>
  <c r="AG37" i="5"/>
  <c r="AH37" i="5"/>
  <c r="AI37" i="5"/>
  <c r="AJ37" i="5"/>
  <c r="AK37" i="5"/>
  <c r="AL37" i="5"/>
  <c r="AM37" i="5"/>
  <c r="AN37" i="5"/>
  <c r="AO37" i="5"/>
  <c r="AP37" i="5"/>
  <c r="AP48" i="5" s="1"/>
  <c r="AQ37" i="5"/>
  <c r="AR37" i="5"/>
  <c r="AR48" i="5" s="1"/>
  <c r="AS48" i="5"/>
  <c r="AT48" i="5"/>
  <c r="AU48" i="5"/>
  <c r="AV48" i="5"/>
  <c r="AW48" i="5"/>
  <c r="AX48" i="5"/>
  <c r="AY48" i="5"/>
  <c r="AZ48" i="5"/>
  <c r="BA48" i="5"/>
  <c r="BB48" i="5"/>
  <c r="BC48" i="5"/>
  <c r="BD48" i="5"/>
  <c r="BE48" i="5"/>
  <c r="BF48" i="5"/>
  <c r="BG48" i="5"/>
  <c r="BH48" i="5"/>
  <c r="BI48" i="5"/>
  <c r="BJ48" i="5"/>
  <c r="BK48" i="5"/>
  <c r="BL48" i="5"/>
  <c r="BM48" i="5"/>
  <c r="BN48" i="5"/>
  <c r="BO48" i="5"/>
  <c r="BP48" i="5"/>
  <c r="BQ48" i="5"/>
  <c r="BR48" i="5"/>
  <c r="BS48" i="5"/>
  <c r="BT48" i="5"/>
  <c r="BU48" i="5"/>
  <c r="BV48" i="5"/>
  <c r="BB316" i="5"/>
  <c r="BB315" i="5"/>
  <c r="Y479" i="3" l="1"/>
  <c r="Y478" i="3"/>
  <c r="Y477" i="3"/>
  <c r="Y476" i="3"/>
  <c r="Y475" i="3"/>
  <c r="Y474" i="3"/>
  <c r="Y462" i="3"/>
  <c r="Y461" i="3"/>
  <c r="A14" i="5" l="1"/>
  <c r="A6" i="5"/>
  <c r="AI470" i="3"/>
  <c r="Y470" i="3"/>
  <c r="O470" i="3"/>
  <c r="E163" i="5"/>
  <c r="E162" i="5"/>
  <c r="E161" i="5"/>
  <c r="E160" i="5"/>
  <c r="E479" i="3"/>
  <c r="E478" i="3"/>
  <c r="E470" i="3"/>
  <c r="E132" i="5"/>
  <c r="E131" i="5"/>
  <c r="E130" i="5"/>
  <c r="E129" i="5"/>
  <c r="E127" i="5"/>
  <c r="E126" i="5"/>
  <c r="E125" i="5"/>
  <c r="E124" i="5"/>
  <c r="E123" i="5"/>
  <c r="Y495" i="3"/>
  <c r="Y494" i="3"/>
  <c r="Y493" i="3"/>
  <c r="Y492" i="3"/>
  <c r="E494" i="3"/>
  <c r="E476" i="3"/>
  <c r="E495" i="3"/>
  <c r="E477" i="3"/>
  <c r="E493" i="3"/>
  <c r="E475" i="3"/>
  <c r="E492" i="3"/>
  <c r="Y490" i="3"/>
  <c r="E490" i="3"/>
  <c r="E469" i="3"/>
  <c r="Y489" i="3"/>
  <c r="E489" i="3"/>
  <c r="E468" i="3"/>
  <c r="Y488" i="3"/>
  <c r="E488" i="3"/>
  <c r="E467" i="3"/>
  <c r="Y487" i="3"/>
  <c r="E487" i="3"/>
  <c r="E466" i="3"/>
  <c r="Y471" i="3"/>
  <c r="Y469" i="3"/>
  <c r="Y468" i="3"/>
  <c r="Y467" i="3"/>
  <c r="Y466" i="3"/>
  <c r="E471" i="3"/>
  <c r="E474" i="3"/>
  <c r="E472" i="3"/>
  <c r="Y483" i="3"/>
  <c r="Y482" i="3"/>
  <c r="E483" i="3"/>
  <c r="E482" i="3"/>
  <c r="E462" i="3"/>
  <c r="E461" i="3"/>
  <c r="AR158" i="5" l="1"/>
  <c r="E158" i="5" l="1"/>
  <c r="E157" i="5"/>
  <c r="E156" i="5"/>
  <c r="E155" i="5"/>
  <c r="E154" i="5"/>
  <c r="Y181" i="3"/>
  <c r="U386" i="6"/>
  <c r="E386" i="6"/>
  <c r="U305" i="6"/>
  <c r="E305" i="6"/>
  <c r="U154" i="6"/>
  <c r="E154" i="6"/>
  <c r="U42" i="6"/>
  <c r="E42" i="6"/>
  <c r="Y859" i="3"/>
  <c r="E859" i="3"/>
  <c r="Y757" i="3"/>
  <c r="E757" i="3"/>
  <c r="Y653" i="3"/>
  <c r="E653" i="3"/>
  <c r="Y526" i="3"/>
  <c r="E526" i="3"/>
  <c r="Y389" i="3"/>
  <c r="E389" i="3"/>
  <c r="Y286" i="3"/>
  <c r="E286" i="3"/>
  <c r="Y49" i="3"/>
  <c r="E49" i="3"/>
  <c r="E181" i="3" s="1"/>
  <c r="E27" i="5"/>
  <c r="C314" i="5" l="1"/>
  <c r="U410" i="6"/>
  <c r="E410" i="6"/>
  <c r="U328" i="6"/>
  <c r="E328" i="6"/>
  <c r="C344" i="5"/>
  <c r="C345" i="5"/>
  <c r="C346" i="5"/>
  <c r="C347" i="5"/>
  <c r="C348" i="5"/>
  <c r="C349" i="5"/>
  <c r="C329" i="5"/>
  <c r="C330" i="5"/>
  <c r="C331" i="5"/>
  <c r="C328" i="5"/>
  <c r="C299" i="5"/>
  <c r="C300" i="5"/>
  <c r="C301" i="5"/>
  <c r="C302" i="5"/>
  <c r="C303" i="5"/>
  <c r="C304" i="5"/>
  <c r="C305" i="5"/>
  <c r="C306" i="5"/>
  <c r="C307" i="5"/>
  <c r="C308" i="5"/>
  <c r="C298" i="5"/>
  <c r="C254" i="5"/>
  <c r="C255" i="5"/>
  <c r="C253" i="5"/>
  <c r="C237" i="5"/>
  <c r="C238" i="5"/>
  <c r="C239" i="5"/>
  <c r="C240" i="5"/>
  <c r="C241" i="5"/>
  <c r="C218" i="5"/>
  <c r="C219" i="5"/>
  <c r="C220" i="5"/>
  <c r="C221" i="5"/>
  <c r="C222" i="5"/>
  <c r="C223" i="5"/>
  <c r="C196" i="5"/>
  <c r="C197" i="5"/>
  <c r="C198" i="5"/>
  <c r="C199" i="5"/>
  <c r="C200" i="5"/>
  <c r="C201" i="5"/>
  <c r="C202" i="5"/>
  <c r="C203" i="5"/>
  <c r="C102" i="5"/>
  <c r="C103" i="5"/>
  <c r="C104" i="5"/>
  <c r="C105" i="5"/>
  <c r="C106" i="5"/>
  <c r="C107" i="5"/>
  <c r="C108" i="5"/>
  <c r="C109" i="5"/>
  <c r="C110" i="5"/>
  <c r="C111" i="5"/>
  <c r="C70" i="5"/>
  <c r="C71" i="5"/>
  <c r="C72" i="5"/>
  <c r="C73" i="5"/>
  <c r="C74" i="5"/>
  <c r="C75" i="5"/>
  <c r="C76" i="5"/>
  <c r="C77" i="5"/>
  <c r="C78" i="5"/>
  <c r="C79" i="5"/>
  <c r="C80" i="5"/>
  <c r="C81" i="5"/>
  <c r="C82" i="5"/>
  <c r="C83" i="5"/>
  <c r="C40" i="5"/>
  <c r="C41" i="5"/>
  <c r="C42" i="5"/>
  <c r="C43" i="5"/>
  <c r="C44" i="5"/>
  <c r="C45" i="5"/>
  <c r="C46" i="5"/>
  <c r="C47" i="5"/>
  <c r="C39" i="5"/>
  <c r="C16" i="5"/>
  <c r="C17" i="5"/>
  <c r="C18" i="5"/>
  <c r="C19" i="5"/>
  <c r="C20" i="5"/>
  <c r="C21" i="5"/>
  <c r="C15" i="5"/>
  <c r="G293" i="5"/>
  <c r="G292" i="5"/>
  <c r="G291" i="5"/>
  <c r="G275" i="5"/>
  <c r="G267" i="5"/>
  <c r="G343" i="5"/>
  <c r="E343" i="5"/>
  <c r="G327" i="5"/>
  <c r="E327" i="5"/>
  <c r="G297" i="5"/>
  <c r="E297" i="5"/>
  <c r="G271" i="5"/>
  <c r="E271" i="5"/>
  <c r="G252" i="5"/>
  <c r="E252" i="5"/>
  <c r="G236" i="5"/>
  <c r="E236" i="5"/>
  <c r="G217" i="5"/>
  <c r="E217" i="5"/>
  <c r="G151" i="5"/>
  <c r="E151" i="5"/>
  <c r="G195" i="5"/>
  <c r="E195" i="5"/>
  <c r="G101" i="5"/>
  <c r="E101" i="5"/>
  <c r="G69" i="5"/>
  <c r="E69" i="5"/>
  <c r="G38" i="5"/>
  <c r="E38" i="5"/>
  <c r="AD6" i="6" l="1"/>
  <c r="N6" i="6"/>
  <c r="A837" i="3" l="1"/>
  <c r="B837" i="3"/>
  <c r="B734" i="3"/>
  <c r="A734" i="3"/>
  <c r="B630" i="3" l="1"/>
  <c r="A630" i="3"/>
  <c r="B497" i="3"/>
  <c r="A497" i="3"/>
  <c r="AL464" i="3"/>
  <c r="B367" i="3" l="1"/>
  <c r="A367" i="3"/>
  <c r="B257" i="3"/>
  <c r="A257" i="3"/>
  <c r="B157" i="3"/>
  <c r="A157" i="3"/>
  <c r="B26" i="3"/>
  <c r="A26" i="3"/>
  <c r="AD357" i="6"/>
  <c r="B363" i="6"/>
  <c r="A363" i="6"/>
  <c r="B130" i="6"/>
  <c r="A130" i="6"/>
  <c r="E335" i="5"/>
  <c r="AI835" i="3" l="1"/>
  <c r="AI834" i="3"/>
  <c r="AL833" i="3"/>
  <c r="AJ833" i="3"/>
  <c r="AF833" i="3"/>
  <c r="AD833" i="3"/>
  <c r="AB833" i="3"/>
  <c r="Z833" i="3"/>
  <c r="AL832" i="3"/>
  <c r="AJ832" i="3"/>
  <c r="AF832" i="3"/>
  <c r="AD832" i="3"/>
  <c r="AB832" i="3"/>
  <c r="Z832" i="3"/>
  <c r="AJ831" i="3"/>
  <c r="AI831" i="3"/>
  <c r="O835" i="3"/>
  <c r="O834" i="3"/>
  <c r="AI155" i="3"/>
  <c r="AI154" i="3"/>
  <c r="AI153" i="3"/>
  <c r="AI152" i="3"/>
  <c r="AI151" i="3"/>
  <c r="AI150" i="3"/>
  <c r="AI149" i="3"/>
  <c r="AI148" i="3"/>
  <c r="AI255" i="3"/>
  <c r="AI254" i="3"/>
  <c r="AI253" i="3"/>
  <c r="AI252" i="3"/>
  <c r="AI251" i="3"/>
  <c r="AI250" i="3"/>
  <c r="AI249" i="3"/>
  <c r="AI248" i="3"/>
  <c r="Y248" i="3"/>
  <c r="AI365" i="3"/>
  <c r="AI364" i="3"/>
  <c r="AI363" i="3"/>
  <c r="AI362" i="3"/>
  <c r="Y365" i="3"/>
  <c r="Y364" i="3"/>
  <c r="Y363" i="3"/>
  <c r="Y362" i="3"/>
  <c r="AI490" i="3"/>
  <c r="AI489" i="3"/>
  <c r="AI488" i="3"/>
  <c r="AI487" i="3"/>
  <c r="AI472" i="3"/>
  <c r="AI471" i="3"/>
  <c r="AI469" i="3"/>
  <c r="AI468" i="3"/>
  <c r="AI467" i="3"/>
  <c r="AI466" i="3"/>
  <c r="AI624" i="3"/>
  <c r="Y624" i="3"/>
  <c r="AI628" i="3"/>
  <c r="AI627" i="3"/>
  <c r="AI626" i="3"/>
  <c r="AI625" i="3"/>
  <c r="Y628" i="3"/>
  <c r="Y627" i="3"/>
  <c r="Y626" i="3"/>
  <c r="Y625" i="3"/>
  <c r="AI732" i="3"/>
  <c r="AI731" i="3"/>
  <c r="AI730" i="3"/>
  <c r="AI729" i="3"/>
  <c r="Y732" i="3"/>
  <c r="Y731" i="3"/>
  <c r="Y730" i="3"/>
  <c r="Y729" i="3"/>
  <c r="R833" i="3"/>
  <c r="P833" i="3"/>
  <c r="L833" i="3"/>
  <c r="J833" i="3"/>
  <c r="H833" i="3"/>
  <c r="L832" i="3"/>
  <c r="J832" i="3"/>
  <c r="F832" i="3"/>
  <c r="E831" i="3"/>
  <c r="AL728" i="3"/>
  <c r="AJ728" i="3"/>
  <c r="AF728" i="3"/>
  <c r="AD728" i="3"/>
  <c r="AB728" i="3"/>
  <c r="Z728" i="3"/>
  <c r="AL727" i="3"/>
  <c r="AJ727" i="3"/>
  <c r="AF727" i="3"/>
  <c r="AD727" i="3"/>
  <c r="AB727" i="3"/>
  <c r="Z727" i="3"/>
  <c r="AJ726" i="3"/>
  <c r="AI726" i="3"/>
  <c r="O732" i="3"/>
  <c r="O731" i="3"/>
  <c r="O730" i="3"/>
  <c r="O729" i="3"/>
  <c r="R728" i="3"/>
  <c r="P728" i="3"/>
  <c r="L728" i="3"/>
  <c r="J728" i="3"/>
  <c r="H728" i="3"/>
  <c r="L727" i="3"/>
  <c r="J727" i="3"/>
  <c r="F727" i="3"/>
  <c r="E726" i="3"/>
  <c r="AL623" i="3"/>
  <c r="AJ623" i="3"/>
  <c r="AF623" i="3"/>
  <c r="AD623" i="3"/>
  <c r="AB623" i="3"/>
  <c r="Z623" i="3"/>
  <c r="AL622" i="3"/>
  <c r="AJ622" i="3"/>
  <c r="AF622" i="3"/>
  <c r="AD622" i="3"/>
  <c r="AB622" i="3"/>
  <c r="Z622" i="3"/>
  <c r="AJ621" i="3"/>
  <c r="AI621" i="3"/>
  <c r="O628" i="3"/>
  <c r="O627" i="3"/>
  <c r="O626" i="3"/>
  <c r="O625" i="3"/>
  <c r="O624" i="3"/>
  <c r="R623" i="3"/>
  <c r="P623" i="3"/>
  <c r="L623" i="3"/>
  <c r="J623" i="3"/>
  <c r="H623" i="3"/>
  <c r="L622" i="3"/>
  <c r="J622" i="3"/>
  <c r="F622" i="3"/>
  <c r="E621" i="3"/>
  <c r="AL465" i="3"/>
  <c r="AJ465" i="3"/>
  <c r="AF465" i="3"/>
  <c r="AD465" i="3"/>
  <c r="AB465" i="3"/>
  <c r="Z465" i="3"/>
  <c r="AJ464" i="3"/>
  <c r="AF464" i="3"/>
  <c r="AD464" i="3"/>
  <c r="AB464" i="3"/>
  <c r="Z464" i="3"/>
  <c r="AJ463" i="3"/>
  <c r="AI463" i="3"/>
  <c r="AL486" i="3"/>
  <c r="AJ486" i="3"/>
  <c r="AF486" i="3"/>
  <c r="AD486" i="3"/>
  <c r="AB486" i="3"/>
  <c r="Z486" i="3"/>
  <c r="AL485" i="3"/>
  <c r="AJ485" i="3"/>
  <c r="AF485" i="3"/>
  <c r="AD485" i="3"/>
  <c r="AB485" i="3"/>
  <c r="Z485" i="3"/>
  <c r="AJ484" i="3"/>
  <c r="AI484" i="3"/>
  <c r="O472" i="3"/>
  <c r="O466" i="3"/>
  <c r="O471" i="3"/>
  <c r="O468" i="3"/>
  <c r="O467" i="3"/>
  <c r="O469" i="3"/>
  <c r="R465" i="3"/>
  <c r="P465" i="3"/>
  <c r="L465" i="3"/>
  <c r="J465" i="3"/>
  <c r="H465" i="3"/>
  <c r="L464" i="3"/>
  <c r="J464" i="3"/>
  <c r="F464" i="3"/>
  <c r="E463" i="3"/>
  <c r="O490" i="3"/>
  <c r="O487" i="3"/>
  <c r="O489" i="3"/>
  <c r="O488" i="3"/>
  <c r="R486" i="3"/>
  <c r="P486" i="3"/>
  <c r="L486" i="3"/>
  <c r="J486" i="3"/>
  <c r="H486" i="3"/>
  <c r="L485" i="3"/>
  <c r="J485" i="3"/>
  <c r="F485" i="3"/>
  <c r="E484" i="3"/>
  <c r="AL361" i="3"/>
  <c r="AJ361" i="3"/>
  <c r="AF361" i="3"/>
  <c r="AD361" i="3"/>
  <c r="AB361" i="3"/>
  <c r="Z361" i="3"/>
  <c r="AL360" i="3"/>
  <c r="AJ360" i="3"/>
  <c r="AF360" i="3"/>
  <c r="AD360" i="3"/>
  <c r="AB360" i="3"/>
  <c r="Z360" i="3"/>
  <c r="AJ359" i="3"/>
  <c r="AI359" i="3"/>
  <c r="R361" i="3"/>
  <c r="P361" i="3"/>
  <c r="L361" i="3"/>
  <c r="J361" i="3"/>
  <c r="H361" i="3"/>
  <c r="L360" i="3"/>
  <c r="J360" i="3"/>
  <c r="F360" i="3"/>
  <c r="E359" i="3"/>
  <c r="O363" i="3"/>
  <c r="E363" i="3"/>
  <c r="O364" i="3"/>
  <c r="O362" i="3"/>
  <c r="AL247" i="3"/>
  <c r="AJ247" i="3"/>
  <c r="AF247" i="3"/>
  <c r="AD247" i="3"/>
  <c r="AB247" i="3"/>
  <c r="Z247" i="3"/>
  <c r="AL246" i="3"/>
  <c r="AJ246" i="3"/>
  <c r="AF246" i="3"/>
  <c r="AD246" i="3"/>
  <c r="AB246" i="3"/>
  <c r="Z246" i="3"/>
  <c r="AJ245" i="3"/>
  <c r="AI245" i="3"/>
  <c r="Y249" i="3"/>
  <c r="Y250" i="3"/>
  <c r="Y251" i="3"/>
  <c r="Y252" i="3"/>
  <c r="Y253" i="3"/>
  <c r="Y254" i="3"/>
  <c r="Y255" i="3"/>
  <c r="R247" i="3"/>
  <c r="P247" i="3"/>
  <c r="L247" i="3"/>
  <c r="J247" i="3"/>
  <c r="H247" i="3"/>
  <c r="L246" i="3"/>
  <c r="J246" i="3"/>
  <c r="F246" i="3"/>
  <c r="E245" i="3"/>
  <c r="O255" i="3"/>
  <c r="O254" i="3"/>
  <c r="O252" i="3"/>
  <c r="O253" i="3"/>
  <c r="O251" i="3"/>
  <c r="O250" i="3"/>
  <c r="O249" i="3"/>
  <c r="O248" i="3"/>
  <c r="AF146" i="3"/>
  <c r="AD146" i="3"/>
  <c r="AB146" i="3"/>
  <c r="Z146" i="3"/>
  <c r="AF18" i="3"/>
  <c r="AD18" i="3"/>
  <c r="AB18" i="3"/>
  <c r="Z18" i="3"/>
  <c r="AL147" i="3"/>
  <c r="AJ147" i="3"/>
  <c r="AF147" i="3"/>
  <c r="AD147" i="3"/>
  <c r="AB147" i="3"/>
  <c r="Z147" i="3"/>
  <c r="AL146" i="3"/>
  <c r="AJ146" i="3"/>
  <c r="AJ145" i="3"/>
  <c r="AI145" i="3"/>
  <c r="AL18" i="3"/>
  <c r="AJ18" i="3"/>
  <c r="O155" i="3"/>
  <c r="O153" i="3"/>
  <c r="O150" i="3"/>
  <c r="O152" i="3"/>
  <c r="O148" i="3"/>
  <c r="O154" i="3"/>
  <c r="O149" i="3"/>
  <c r="O151" i="3"/>
  <c r="R147" i="3"/>
  <c r="P147" i="3"/>
  <c r="L147" i="3"/>
  <c r="J147" i="3"/>
  <c r="H147" i="3"/>
  <c r="L146" i="3"/>
  <c r="J146" i="3"/>
  <c r="F146" i="3"/>
  <c r="E145" i="3"/>
  <c r="AI23" i="3"/>
  <c r="AI22" i="3"/>
  <c r="AI21" i="3"/>
  <c r="AI20" i="3"/>
  <c r="AI12" i="3"/>
  <c r="AI11" i="3"/>
  <c r="AI10" i="3"/>
  <c r="AI9" i="3"/>
  <c r="AI8" i="3"/>
  <c r="AJ17" i="3"/>
  <c r="Y23" i="3"/>
  <c r="Y22" i="3"/>
  <c r="Y21" i="3"/>
  <c r="Y20" i="3"/>
  <c r="Y12" i="3"/>
  <c r="Y11" i="3"/>
  <c r="Y10" i="3"/>
  <c r="Y9" i="3"/>
  <c r="Y8" i="3"/>
  <c r="AJ7" i="3"/>
  <c r="AL7" i="3"/>
  <c r="AL19" i="3"/>
  <c r="AJ19" i="3"/>
  <c r="Z19" i="3"/>
  <c r="AB19" i="3"/>
  <c r="AF19" i="3"/>
  <c r="AF7" i="3"/>
  <c r="AD7" i="3"/>
  <c r="AB7" i="3"/>
  <c r="AI17" i="3"/>
  <c r="O17" i="3"/>
  <c r="Y5" i="3"/>
  <c r="Y17" i="3" s="1"/>
  <c r="AD19" i="3"/>
  <c r="R19" i="3"/>
  <c r="P19" i="3"/>
  <c r="L19" i="3"/>
  <c r="J19" i="3"/>
  <c r="H19" i="3"/>
  <c r="L18" i="3"/>
  <c r="J18" i="3"/>
  <c r="F18" i="3"/>
  <c r="E5" i="3"/>
  <c r="E17" i="3" s="1"/>
  <c r="O12" i="3"/>
  <c r="O11" i="3"/>
  <c r="O10" i="3"/>
  <c r="O9" i="3"/>
  <c r="O8" i="3"/>
  <c r="L6" i="3"/>
  <c r="L7" i="3"/>
  <c r="J6" i="3"/>
  <c r="J7" i="3"/>
  <c r="H7" i="3"/>
  <c r="F6" i="3"/>
  <c r="AC361" i="6"/>
  <c r="AC360" i="6"/>
  <c r="AC359" i="6"/>
  <c r="M361" i="6"/>
  <c r="M360" i="6"/>
  <c r="M359" i="6"/>
  <c r="AD358" i="6"/>
  <c r="Z358" i="6"/>
  <c r="X358" i="6"/>
  <c r="V358" i="6"/>
  <c r="N358" i="6"/>
  <c r="J358" i="6"/>
  <c r="H358" i="6"/>
  <c r="F358" i="6"/>
  <c r="N357" i="6"/>
  <c r="AD356" i="6"/>
  <c r="U356" i="6"/>
  <c r="N356" i="6"/>
  <c r="E356" i="6"/>
  <c r="AC280" i="6"/>
  <c r="AC279" i="6"/>
  <c r="AC278" i="6"/>
  <c r="AC277" i="6"/>
  <c r="AC276" i="6"/>
  <c r="AD275" i="6"/>
  <c r="Z275" i="6"/>
  <c r="X275" i="6"/>
  <c r="V275" i="6"/>
  <c r="AD274" i="6"/>
  <c r="AD273" i="6"/>
  <c r="U273" i="6"/>
  <c r="N275" i="6"/>
  <c r="J275" i="6"/>
  <c r="H275" i="6"/>
  <c r="F275" i="6"/>
  <c r="N274" i="6"/>
  <c r="N273" i="6"/>
  <c r="E273" i="6"/>
  <c r="N119" i="6"/>
  <c r="J119" i="6"/>
  <c r="H119" i="6"/>
  <c r="F119" i="6"/>
  <c r="N118" i="6"/>
  <c r="N117" i="6"/>
  <c r="E117" i="6"/>
  <c r="AD119" i="6"/>
  <c r="Z119" i="6"/>
  <c r="X119" i="6"/>
  <c r="V119" i="6"/>
  <c r="AD118" i="6"/>
  <c r="AD117" i="6"/>
  <c r="U117" i="6"/>
  <c r="M280" i="6"/>
  <c r="M279" i="6"/>
  <c r="M278" i="6"/>
  <c r="M277" i="6"/>
  <c r="M276" i="6"/>
  <c r="Y831" i="3" l="1"/>
  <c r="Y726" i="3"/>
  <c r="Y621" i="3"/>
  <c r="Y463" i="3"/>
  <c r="Y484" i="3"/>
  <c r="Y359" i="3"/>
  <c r="Y245" i="3"/>
  <c r="Y145" i="3"/>
  <c r="M127" i="6" l="1"/>
  <c r="M126" i="6"/>
  <c r="M125" i="6"/>
  <c r="M124" i="6"/>
  <c r="M123" i="6"/>
  <c r="M122" i="6"/>
  <c r="M121" i="6"/>
  <c r="M120" i="6"/>
  <c r="U5" i="6"/>
  <c r="E5" i="6"/>
  <c r="U199" i="6" l="1"/>
  <c r="E199" i="6"/>
  <c r="E120" i="6"/>
  <c r="E122" i="6"/>
  <c r="C337" i="5"/>
  <c r="C338" i="5"/>
  <c r="C339" i="5"/>
  <c r="C340" i="5"/>
  <c r="C341" i="5"/>
  <c r="C336" i="5"/>
  <c r="C285" i="5"/>
  <c r="C286" i="5"/>
  <c r="C287" i="5"/>
  <c r="C288" i="5"/>
  <c r="C289" i="5"/>
  <c r="C290" i="5"/>
  <c r="C291" i="5"/>
  <c r="C292" i="5"/>
  <c r="C293" i="5"/>
  <c r="C294" i="5"/>
  <c r="C295" i="5"/>
  <c r="C284" i="5"/>
  <c r="AD7" i="6" l="1"/>
  <c r="Z7" i="6"/>
  <c r="Z6" i="6"/>
  <c r="X7" i="6"/>
  <c r="V6" i="6"/>
  <c r="J6" i="6"/>
  <c r="Y835" i="3"/>
  <c r="E835" i="3"/>
  <c r="Y834" i="3"/>
  <c r="E834" i="3"/>
  <c r="E732" i="3"/>
  <c r="E731" i="3"/>
  <c r="E730" i="3"/>
  <c r="E729" i="3"/>
  <c r="Y152" i="3"/>
  <c r="E152" i="3"/>
  <c r="Y148" i="3"/>
  <c r="E148" i="3"/>
  <c r="Y154" i="3"/>
  <c r="E154" i="3"/>
  <c r="Y149" i="3"/>
  <c r="E149" i="3"/>
  <c r="Y151" i="3"/>
  <c r="E151" i="3"/>
  <c r="N7" i="6"/>
  <c r="J7" i="6"/>
  <c r="H7" i="6"/>
  <c r="J118" i="6" l="1"/>
  <c r="J357" i="6"/>
  <c r="J274" i="6"/>
  <c r="V357" i="6"/>
  <c r="V274" i="6"/>
  <c r="V118" i="6"/>
  <c r="Z118" i="6"/>
  <c r="Z357" i="6"/>
  <c r="Z274" i="6"/>
  <c r="E321" i="5" l="1"/>
  <c r="G307" i="5"/>
  <c r="G306" i="5"/>
  <c r="G305" i="5"/>
  <c r="G299" i="5"/>
  <c r="G298" i="5"/>
  <c r="G285" i="5"/>
  <c r="G284" i="5"/>
  <c r="E283" i="5"/>
  <c r="E263" i="5"/>
  <c r="E247" i="5"/>
  <c r="E229" i="5"/>
  <c r="E209" i="5"/>
  <c r="E120" i="5"/>
  <c r="E185" i="5"/>
  <c r="E89" i="5"/>
  <c r="E53" i="5"/>
  <c r="E21" i="5"/>
  <c r="E20" i="5"/>
  <c r="G19" i="5"/>
  <c r="E19" i="5"/>
  <c r="G18" i="5"/>
  <c r="E18" i="5"/>
  <c r="G17" i="5"/>
  <c r="E17" i="5"/>
  <c r="G16" i="5"/>
  <c r="E16" i="5"/>
  <c r="E628" i="3"/>
  <c r="E627" i="3"/>
  <c r="E626" i="3"/>
  <c r="E625" i="3"/>
  <c r="E624" i="3"/>
  <c r="Y472" i="3"/>
  <c r="E364" i="3"/>
  <c r="E362" i="3"/>
  <c r="E255" i="3"/>
  <c r="E250" i="3"/>
  <c r="E252" i="3"/>
  <c r="E251" i="3"/>
  <c r="E254" i="3"/>
  <c r="E253" i="3"/>
  <c r="E248" i="3"/>
  <c r="E249" i="3"/>
  <c r="Y155" i="3"/>
  <c r="E155" i="3"/>
  <c r="Y153" i="3"/>
  <c r="E153" i="3"/>
  <c r="Y150" i="3"/>
  <c r="E150" i="3"/>
  <c r="E12" i="3"/>
  <c r="E11" i="3"/>
  <c r="E10" i="3"/>
  <c r="E9" i="3"/>
  <c r="E8" i="3"/>
  <c r="P7" i="3"/>
  <c r="R7" i="3"/>
  <c r="B3" i="3"/>
  <c r="U361" i="6"/>
  <c r="E361" i="6"/>
  <c r="U360" i="6"/>
  <c r="E360" i="6"/>
  <c r="U359" i="6"/>
  <c r="E359" i="6"/>
  <c r="U280" i="6"/>
  <c r="E280" i="6"/>
  <c r="U279" i="6"/>
  <c r="E279" i="6"/>
  <c r="U278" i="6"/>
  <c r="E278" i="6"/>
  <c r="U277" i="6"/>
  <c r="E277" i="6"/>
  <c r="U276" i="6"/>
  <c r="E276" i="6"/>
  <c r="E127" i="6"/>
  <c r="E126" i="6"/>
  <c r="E124" i="6"/>
  <c r="E125" i="6"/>
  <c r="E123" i="6"/>
  <c r="E121" i="6"/>
  <c r="F6" i="6"/>
  <c r="B3" i="6"/>
  <c r="H832" i="3" l="1"/>
  <c r="H727" i="3"/>
  <c r="H622" i="3"/>
  <c r="H485" i="3"/>
  <c r="H464" i="3"/>
  <c r="H360" i="3"/>
  <c r="H246" i="3"/>
  <c r="H146" i="3"/>
  <c r="H6" i="3"/>
  <c r="H18" i="3"/>
  <c r="F274" i="6"/>
  <c r="F357" i="6"/>
  <c r="F118" i="6"/>
  <c r="X6" i="6"/>
  <c r="H6" i="6"/>
  <c r="X357" i="6" l="1"/>
  <c r="X118" i="6"/>
  <c r="X274" i="6"/>
  <c r="H118" i="6"/>
  <c r="H357" i="6"/>
  <c r="H274" i="6"/>
  <c r="AD360" i="6" l="1" a="1"/>
  <c r="AE360" i="6" a="1"/>
  <c r="N360" i="6" a="1"/>
  <c r="O360" i="6" a="1"/>
  <c r="Y361" i="6" a="1"/>
  <c r="F361" i="6" a="1"/>
  <c r="X361" i="6" a="1"/>
  <c r="AA361" i="6" a="1"/>
  <c r="H361" i="6" a="1"/>
  <c r="J361" i="6" a="1"/>
  <c r="I361" i="6" a="1"/>
  <c r="K361" i="6" a="1"/>
  <c r="Z361" i="6" a="1"/>
  <c r="V361" i="6" a="1"/>
  <c r="AR330" i="5"/>
  <c r="O361" i="6" a="1"/>
  <c r="N361" i="6" a="1"/>
  <c r="AD361" i="6" a="1"/>
  <c r="AE361" i="6" a="1"/>
  <c r="H360" i="6" a="1"/>
  <c r="I360" i="6" a="1"/>
  <c r="AA360" i="6" a="1"/>
  <c r="Y360" i="6" a="1"/>
  <c r="X360" i="6" a="1"/>
  <c r="AR329" i="5"/>
  <c r="K360" i="6" a="1"/>
  <c r="F360" i="6" a="1"/>
  <c r="J360" i="6" a="1"/>
  <c r="V360" i="6" a="1"/>
  <c r="Z360" i="6" a="1"/>
  <c r="BE304" i="5"/>
  <c r="AW304" i="5"/>
  <c r="AJ189" i="5"/>
  <c r="AB189" i="5"/>
  <c r="T189" i="5"/>
  <c r="L189" i="5"/>
  <c r="AQ143" i="5"/>
  <c r="T143" i="5"/>
  <c r="S143" i="5"/>
  <c r="AN138" i="5"/>
  <c r="AM138" i="5"/>
  <c r="W138" i="5"/>
  <c r="P138" i="5"/>
  <c r="O138" i="5"/>
  <c r="AQ133" i="5"/>
  <c r="AF128" i="5"/>
  <c r="AE128" i="5"/>
  <c r="X128" i="5"/>
  <c r="W128" i="5"/>
  <c r="AN122" i="5"/>
  <c r="AM122" i="5"/>
  <c r="AF122" i="5"/>
  <c r="X122" i="5"/>
  <c r="W122" i="5"/>
  <c r="P122" i="5"/>
  <c r="O122" i="5"/>
  <c r="AP93" i="5"/>
  <c r="AO93" i="5"/>
  <c r="AG93" i="5"/>
  <c r="Z93" i="5"/>
  <c r="Y93" i="5"/>
  <c r="R93" i="5"/>
  <c r="J93" i="5"/>
  <c r="I93" i="5"/>
  <c r="BQ78" i="5"/>
  <c r="BI78" i="5"/>
  <c r="BA78" i="5"/>
  <c r="AS78" i="5"/>
  <c r="AN62" i="5"/>
  <c r="AF62" i="5"/>
  <c r="X62" i="5"/>
  <c r="AB58" i="5"/>
  <c r="T58" i="5"/>
  <c r="L58" i="5"/>
  <c r="AE189" i="5" l="1"/>
  <c r="O58" i="5"/>
  <c r="W58" i="5"/>
  <c r="AE58" i="5"/>
  <c r="AM58" i="5"/>
  <c r="K62" i="5"/>
  <c r="O189" i="5"/>
  <c r="W189" i="5"/>
  <c r="AM189" i="5"/>
  <c r="P58" i="5"/>
  <c r="AW74" i="5"/>
  <c r="BE74" i="5"/>
  <c r="BM74" i="5"/>
  <c r="BU74" i="5"/>
  <c r="AU78" i="5"/>
  <c r="BC78" i="5"/>
  <c r="BK78" i="5"/>
  <c r="BS78" i="5"/>
  <c r="P93" i="5"/>
  <c r="X93" i="5"/>
  <c r="AF93" i="5"/>
  <c r="AE93" i="5" s="1"/>
  <c r="AN93" i="5"/>
  <c r="N122" i="5"/>
  <c r="V122" i="5"/>
  <c r="AD122" i="5"/>
  <c r="AL122" i="5"/>
  <c r="N128" i="5"/>
  <c r="V128" i="5"/>
  <c r="AD128" i="5"/>
  <c r="Z133" i="5"/>
  <c r="AP133" i="5"/>
  <c r="AL138" i="5"/>
  <c r="R143" i="5"/>
  <c r="AP143" i="5"/>
  <c r="J189" i="5"/>
  <c r="R189" i="5"/>
  <c r="Z189" i="5"/>
  <c r="AH189" i="5"/>
  <c r="AL229" i="5"/>
  <c r="Z290" i="5"/>
  <c r="Z294" i="5" s="1"/>
  <c r="AH290" i="5"/>
  <c r="AP290" i="5"/>
  <c r="AV74" i="5"/>
  <c r="BD74" i="5"/>
  <c r="BL74" i="5"/>
  <c r="BT74" i="5"/>
  <c r="AT78" i="5"/>
  <c r="BB78" i="5"/>
  <c r="BJ78" i="5"/>
  <c r="BR78" i="5"/>
  <c r="AX74" i="5"/>
  <c r="BF74" i="5"/>
  <c r="BN74" i="5"/>
  <c r="BV74" i="5"/>
  <c r="AV78" i="5"/>
  <c r="BD78" i="5"/>
  <c r="BL78" i="5"/>
  <c r="BT78" i="5"/>
  <c r="AV159" i="5"/>
  <c r="BD159" i="5"/>
  <c r="BL159" i="5"/>
  <c r="BT159" i="5"/>
  <c r="AT164" i="5"/>
  <c r="BB164" i="5"/>
  <c r="BJ164" i="5"/>
  <c r="BR164" i="5"/>
  <c r="AZ169" i="5"/>
  <c r="BH169" i="5"/>
  <c r="BP169" i="5"/>
  <c r="AX174" i="5"/>
  <c r="BN174" i="5"/>
  <c r="BV174" i="5"/>
  <c r="AZ199" i="5"/>
  <c r="BH199" i="5"/>
  <c r="BP199" i="5"/>
  <c r="AW153" i="5"/>
  <c r="P469" i="3" s="1" a="1"/>
  <c r="AU164" i="5"/>
  <c r="BL304" i="5"/>
  <c r="BL308" i="5" s="1"/>
  <c r="BH105" i="5"/>
  <c r="BV153" i="5"/>
  <c r="BN159" i="5"/>
  <c r="AV164" i="5"/>
  <c r="BT164" i="5"/>
  <c r="BR169" i="5"/>
  <c r="BH174" i="5"/>
  <c r="AT199" i="5"/>
  <c r="BR199" i="5"/>
  <c r="AY153" i="5"/>
  <c r="BG153" i="5"/>
  <c r="BO153" i="5"/>
  <c r="BO159" i="5"/>
  <c r="AW164" i="5"/>
  <c r="BM164" i="5"/>
  <c r="AU169" i="5"/>
  <c r="BC169" i="5"/>
  <c r="BK169" i="5"/>
  <c r="BS169" i="5"/>
  <c r="AS174" i="5"/>
  <c r="BI174" i="5"/>
  <c r="BQ174" i="5"/>
  <c r="AU199" i="5"/>
  <c r="BC199" i="5"/>
  <c r="BK199" i="5"/>
  <c r="BS199" i="5"/>
  <c r="AX304" i="5"/>
  <c r="AX308" i="5" s="1"/>
  <c r="BF304" i="5"/>
  <c r="BF308" i="5" s="1"/>
  <c r="BV304" i="5"/>
  <c r="BV308" i="5" s="1"/>
  <c r="BD304" i="5"/>
  <c r="BD308" i="5" s="1"/>
  <c r="AZ105" i="5"/>
  <c r="BF153" i="5"/>
  <c r="BL164" i="5"/>
  <c r="BJ169" i="5"/>
  <c r="BP174" i="5"/>
  <c r="BJ199" i="5"/>
  <c r="AZ78" i="5"/>
  <c r="BH78" i="5"/>
  <c r="BP78" i="5"/>
  <c r="AY304" i="5"/>
  <c r="AY308" i="5" s="1"/>
  <c r="AY105" i="5"/>
  <c r="BU159" i="5"/>
  <c r="AV304" i="5"/>
  <c r="AV308" i="5" s="1"/>
  <c r="BP105" i="5"/>
  <c r="AX153" i="5"/>
  <c r="BN153" i="5"/>
  <c r="BD164" i="5"/>
  <c r="BB169" i="5"/>
  <c r="AZ174" i="5"/>
  <c r="BB199" i="5"/>
  <c r="AL133" i="5"/>
  <c r="N138" i="5"/>
  <c r="M138" i="5" s="1"/>
  <c r="L138" i="5" s="1"/>
  <c r="K138" i="5" s="1"/>
  <c r="J138" i="5" s="1"/>
  <c r="I138" i="5" s="1"/>
  <c r="AM229" i="5"/>
  <c r="AQ290" i="5"/>
  <c r="AQ294" i="5" s="1"/>
  <c r="AB290" i="5"/>
  <c r="AB294" i="5" s="1"/>
  <c r="AJ290" i="5"/>
  <c r="AJ294" i="5" s="1"/>
  <c r="M58" i="5"/>
  <c r="U58" i="5"/>
  <c r="AC58" i="5"/>
  <c r="AK58" i="5"/>
  <c r="I62" i="5"/>
  <c r="AO62" i="5"/>
  <c r="AG62" i="5" s="1"/>
  <c r="K93" i="5"/>
  <c r="S93" i="5"/>
  <c r="AA93" i="5"/>
  <c r="AI93" i="5"/>
  <c r="AQ93" i="5"/>
  <c r="I122" i="5"/>
  <c r="Q122" i="5"/>
  <c r="Y122" i="5"/>
  <c r="AG122" i="5"/>
  <c r="AO122" i="5"/>
  <c r="Q128" i="5"/>
  <c r="AG128" i="5"/>
  <c r="AO128" i="5"/>
  <c r="M133" i="5"/>
  <c r="U133" i="5"/>
  <c r="AK133" i="5"/>
  <c r="Q138" i="5"/>
  <c r="M143" i="5"/>
  <c r="U143" i="5"/>
  <c r="AK143" i="5"/>
  <c r="M189" i="5"/>
  <c r="U189" i="5"/>
  <c r="AC189" i="5"/>
  <c r="AK189" i="5"/>
  <c r="S214" i="5"/>
  <c r="N58" i="5"/>
  <c r="V58" i="5"/>
  <c r="AD58" i="5"/>
  <c r="AL58" i="5"/>
  <c r="J62" i="5"/>
  <c r="R62" i="5"/>
  <c r="AH62" i="5"/>
  <c r="AP62" i="5"/>
  <c r="W62" i="5" s="1"/>
  <c r="AQ58" i="5" s="1"/>
  <c r="L93" i="5"/>
  <c r="T93" i="5"/>
  <c r="AB93" i="5"/>
  <c r="AJ93" i="5"/>
  <c r="N189" i="5"/>
  <c r="V189" i="5"/>
  <c r="AD189" i="5"/>
  <c r="AL189" i="5"/>
  <c r="S62" i="5"/>
  <c r="AI62" i="5"/>
  <c r="AM290" i="5"/>
  <c r="AM294" i="5" s="1"/>
  <c r="X58" i="5"/>
  <c r="X66" i="5" s="1"/>
  <c r="AF58" i="5"/>
  <c r="AF66" i="5" s="1"/>
  <c r="AN58" i="5"/>
  <c r="AN66" i="5" s="1"/>
  <c r="AN69" i="5" s="1"/>
  <c r="L62" i="5"/>
  <c r="L66" i="5" s="1"/>
  <c r="T62" i="5"/>
  <c r="T66" i="5" s="1"/>
  <c r="AJ62" i="5"/>
  <c r="AD340" i="5"/>
  <c r="AL340" i="5"/>
  <c r="AJ491" i="3" a="1"/>
  <c r="Q150" i="3" a="1"/>
  <c r="AK150" i="3" a="1"/>
  <c r="P491" i="3" a="1"/>
  <c r="AK10" i="3" a="1"/>
  <c r="Q10" i="3" a="1"/>
  <c r="AJ22" i="3" a="1"/>
  <c r="N121" i="6" a="1"/>
  <c r="O121" i="6" a="1"/>
  <c r="AK22" i="3" a="1"/>
  <c r="P10" i="3" a="1"/>
  <c r="AJ150" i="3" a="1"/>
  <c r="Q473" i="3" a="1"/>
  <c r="AD121" i="6" a="1"/>
  <c r="AK491" i="3" a="1"/>
  <c r="Q22" i="3" a="1"/>
  <c r="AJ473" i="3" a="1"/>
  <c r="P150" i="3" a="1"/>
  <c r="P473" i="3" a="1"/>
  <c r="AE121" i="6" a="1"/>
  <c r="Q491" i="3" a="1"/>
  <c r="AK473" i="3" a="1"/>
  <c r="AJ10" i="3" a="1"/>
  <c r="P22" i="3" a="1"/>
  <c r="S35" i="5"/>
  <c r="AQ35" i="5"/>
  <c r="BI46" i="5"/>
  <c r="AR44" i="5"/>
  <c r="T35" i="5"/>
  <c r="BJ46" i="5"/>
  <c r="Q62" i="5"/>
  <c r="P62" i="5" s="1"/>
  <c r="O62" i="5" s="1"/>
  <c r="N62" i="5" s="1"/>
  <c r="M62" i="5" s="1"/>
  <c r="V68" i="5"/>
  <c r="AR200" i="5"/>
  <c r="AR189" i="5"/>
  <c r="AR202" i="5"/>
  <c r="R489" i="3" a="1"/>
  <c r="AL489" i="3" a="1"/>
  <c r="S489" i="3" a="1"/>
  <c r="AM489" i="3" a="1"/>
  <c r="Z214" i="5"/>
  <c r="BU348" i="5"/>
  <c r="AK249" i="3" a="1"/>
  <c r="O122" i="6" a="1"/>
  <c r="AJ151" i="3" a="1"/>
  <c r="N122" i="6" a="1"/>
  <c r="AE122" i="6" a="1"/>
  <c r="Q151" i="3" a="1"/>
  <c r="AD122" i="6" a="1"/>
  <c r="AJ249" i="3" a="1"/>
  <c r="P151" i="3" a="1"/>
  <c r="Q249" i="3" a="1"/>
  <c r="P249" i="3" a="1"/>
  <c r="AK151" i="3" a="1"/>
  <c r="AE68" i="5"/>
  <c r="AY74" i="5"/>
  <c r="AW78" i="5"/>
  <c r="AS105" i="5"/>
  <c r="AH93" i="5" s="1"/>
  <c r="AN128" i="5"/>
  <c r="AM128" i="5" s="1"/>
  <c r="T133" i="5"/>
  <c r="S133" i="5" s="1"/>
  <c r="R133" i="5" s="1"/>
  <c r="K214" i="5"/>
  <c r="AC9" i="3" a="1"/>
  <c r="AE366" i="3" a="1"/>
  <c r="AB366" i="3" a="1"/>
  <c r="M9" i="3" a="1"/>
  <c r="H21" i="3" a="1"/>
  <c r="AD366" i="3" a="1"/>
  <c r="AD9" i="3" a="1"/>
  <c r="AG9" i="3" a="1"/>
  <c r="F9" i="3" a="1"/>
  <c r="M21" i="3" a="1"/>
  <c r="L366" i="3" a="1"/>
  <c r="AF366" i="3" a="1"/>
  <c r="AC366" i="3" a="1"/>
  <c r="I9" i="3" a="1"/>
  <c r="Z9" i="3" a="1"/>
  <c r="AF21" i="3" a="1"/>
  <c r="F366" i="3" a="1"/>
  <c r="L9" i="3" a="1"/>
  <c r="AE9" i="3" a="1"/>
  <c r="H9" i="3" a="1"/>
  <c r="I366" i="3" a="1"/>
  <c r="AE21" i="3" a="1"/>
  <c r="Z366" i="3" a="1"/>
  <c r="AG366" i="3" a="1"/>
  <c r="J21" i="3" a="1"/>
  <c r="AG21" i="3" a="1"/>
  <c r="AD21" i="3" a="1"/>
  <c r="J9" i="3" a="1"/>
  <c r="Z21" i="3" a="1"/>
  <c r="AF9" i="3" a="1"/>
  <c r="H366" i="3" a="1"/>
  <c r="AB9" i="3" a="1"/>
  <c r="K9" i="3" a="1"/>
  <c r="M366" i="3" a="1"/>
  <c r="J366" i="3" a="1"/>
  <c r="AB21" i="3" a="1"/>
  <c r="K366" i="3" a="1"/>
  <c r="L21" i="3" a="1"/>
  <c r="K21" i="3" a="1"/>
  <c r="AR16" i="5"/>
  <c r="I21" i="3" a="1"/>
  <c r="F21" i="3" a="1"/>
  <c r="AC21" i="3" a="1"/>
  <c r="I11" i="3" a="1"/>
  <c r="L629" i="3" a="1"/>
  <c r="K629" i="3" a="1"/>
  <c r="V281" i="6" a="1"/>
  <c r="Y281" i="6" a="1"/>
  <c r="H11" i="3" a="1"/>
  <c r="F281" i="6" a="1"/>
  <c r="J281" i="6" a="1"/>
  <c r="AG629" i="3" a="1"/>
  <c r="Z281" i="6" a="1"/>
  <c r="K11" i="3" a="1"/>
  <c r="Z11" i="3" a="1"/>
  <c r="X281" i="6" a="1"/>
  <c r="AF629" i="3" a="1"/>
  <c r="AR18" i="5"/>
  <c r="Z629" i="3" a="1"/>
  <c r="I629" i="3" a="1"/>
  <c r="J629" i="3" a="1"/>
  <c r="AD11" i="3" a="1"/>
  <c r="M629" i="3" a="1"/>
  <c r="AE629" i="3" a="1"/>
  <c r="M11" i="3" a="1"/>
  <c r="H629" i="3" a="1"/>
  <c r="F629" i="3" a="1"/>
  <c r="H281" i="6" a="1"/>
  <c r="AA281" i="6" a="1"/>
  <c r="AG11" i="3" a="1"/>
  <c r="J11" i="3" a="1"/>
  <c r="AF11" i="3" a="1"/>
  <c r="I281" i="6" a="1"/>
  <c r="AB11" i="3" a="1"/>
  <c r="AC629" i="3" a="1"/>
  <c r="AB629" i="3" a="1"/>
  <c r="AC11" i="3" a="1"/>
  <c r="K281" i="6" a="1"/>
  <c r="AE11" i="3" a="1"/>
  <c r="F11" i="3" a="1"/>
  <c r="L11" i="3" a="1"/>
  <c r="AD629" i="3" a="1"/>
  <c r="F13" i="3" a="1"/>
  <c r="L13" i="3" a="1"/>
  <c r="AD13" i="3" a="1"/>
  <c r="AG13" i="3" a="1"/>
  <c r="Z13" i="3" a="1"/>
  <c r="I13" i="3" a="1"/>
  <c r="AC13" i="3" a="1"/>
  <c r="AB13" i="3" a="1"/>
  <c r="M13" i="3" a="1"/>
  <c r="K13" i="3" a="1"/>
  <c r="AR20" i="5"/>
  <c r="J13" i="3" a="1"/>
  <c r="H13" i="3" a="1"/>
  <c r="AF13" i="3" a="1"/>
  <c r="AE13" i="3" a="1"/>
  <c r="R21" i="3" a="1"/>
  <c r="R9" i="3" a="1"/>
  <c r="AL9" i="3" a="1"/>
  <c r="S366" i="3" a="1"/>
  <c r="AM21" i="3" a="1"/>
  <c r="AM366" i="3" a="1"/>
  <c r="S9" i="3" a="1"/>
  <c r="AL21" i="3" a="1"/>
  <c r="AL366" i="3" a="1"/>
  <c r="S21" i="3" a="1"/>
  <c r="R366" i="3" a="1"/>
  <c r="AM9" i="3" a="1"/>
  <c r="S13" i="3" a="1"/>
  <c r="AL13" i="3" a="1"/>
  <c r="AM13" i="3" a="1"/>
  <c r="R13" i="3" a="1"/>
  <c r="N35" i="5"/>
  <c r="V35" i="5"/>
  <c r="AD35" i="5"/>
  <c r="AL35" i="5"/>
  <c r="R249" i="3" a="1"/>
  <c r="AL151" i="3" a="1"/>
  <c r="AL249" i="3" a="1"/>
  <c r="AM151" i="3" a="1"/>
  <c r="R151" i="3" a="1"/>
  <c r="S151" i="3" a="1"/>
  <c r="S249" i="3" a="1"/>
  <c r="AM249" i="3" a="1"/>
  <c r="R152" i="3" a="1"/>
  <c r="R363" i="3" a="1"/>
  <c r="S152" i="3" a="1"/>
  <c r="S363" i="3" a="1"/>
  <c r="AM152" i="3" a="1"/>
  <c r="AL363" i="3" a="1"/>
  <c r="AL152" i="3" a="1"/>
  <c r="AM363" i="3" a="1"/>
  <c r="AV46" i="5"/>
  <c r="BD46" i="5"/>
  <c r="BL46" i="5"/>
  <c r="BT46" i="5"/>
  <c r="AR71" i="5"/>
  <c r="AD254" i="3" a="1"/>
  <c r="J254" i="3" a="1"/>
  <c r="H254" i="3" a="1"/>
  <c r="Z254" i="3" a="1"/>
  <c r="K254" i="3" a="1"/>
  <c r="F254" i="3" a="1"/>
  <c r="AE254" i="3" a="1"/>
  <c r="I254" i="3" a="1"/>
  <c r="AB254" i="3" a="1"/>
  <c r="AF254" i="3" a="1"/>
  <c r="AG254" i="3" a="1"/>
  <c r="AC254" i="3" a="1"/>
  <c r="AR73" i="5"/>
  <c r="L254" i="3" a="1"/>
  <c r="M254" i="3" a="1"/>
  <c r="AR76" i="5"/>
  <c r="AR62" i="5"/>
  <c r="AR79" i="5"/>
  <c r="AR81" i="5"/>
  <c r="P68" i="5"/>
  <c r="X68" i="5"/>
  <c r="AF68" i="5"/>
  <c r="AN68" i="5"/>
  <c r="AL254" i="3" a="1"/>
  <c r="AM254" i="3" a="1"/>
  <c r="S254" i="3" a="1"/>
  <c r="R254" i="3" a="1"/>
  <c r="AZ74" i="5"/>
  <c r="BH74" i="5"/>
  <c r="BP74" i="5"/>
  <c r="AX78" i="5"/>
  <c r="BF78" i="5"/>
  <c r="BN78" i="5"/>
  <c r="BV78" i="5"/>
  <c r="AR103" i="5"/>
  <c r="AR106" i="5"/>
  <c r="AR93" i="5"/>
  <c r="AR108" i="5"/>
  <c r="AR110" i="5"/>
  <c r="AT105" i="5"/>
  <c r="BB105" i="5"/>
  <c r="BJ105" i="5"/>
  <c r="BR105" i="5"/>
  <c r="J122" i="5"/>
  <c r="R122" i="5"/>
  <c r="Z122" i="5"/>
  <c r="AH122" i="5"/>
  <c r="AP122" i="5"/>
  <c r="AH128" i="5"/>
  <c r="AP128" i="5"/>
  <c r="V133" i="5"/>
  <c r="AJ128" i="5" s="1"/>
  <c r="Z138" i="5"/>
  <c r="Y138" i="5" s="1"/>
  <c r="X138" i="5" s="1"/>
  <c r="AP138" i="5"/>
  <c r="AO138" i="5" s="1"/>
  <c r="V138" i="5" s="1"/>
  <c r="N143" i="5"/>
  <c r="AL143" i="5"/>
  <c r="V143" i="5" s="1"/>
  <c r="AK68" i="5"/>
  <c r="P20" i="3" a="1"/>
  <c r="P256" i="3" a="1"/>
  <c r="AJ20" i="3" a="1"/>
  <c r="AJ256" i="3" a="1"/>
  <c r="Q8" i="3" a="1"/>
  <c r="Q20" i="3" a="1"/>
  <c r="P8" i="3" a="1"/>
  <c r="AK8" i="3" a="1"/>
  <c r="AJ8" i="3" a="1"/>
  <c r="AK256" i="3" a="1"/>
  <c r="Q256" i="3" a="1"/>
  <c r="AK20" i="3" a="1"/>
  <c r="Q153" i="3" a="1"/>
  <c r="AK23" i="3" a="1"/>
  <c r="P12" i="3" a="1"/>
  <c r="Q733" i="3" a="1"/>
  <c r="AK733" i="3" a="1"/>
  <c r="AK12" i="3" a="1"/>
  <c r="AJ12" i="3" a="1"/>
  <c r="AJ23" i="3" a="1"/>
  <c r="AJ733" i="3" a="1"/>
  <c r="P733" i="3" a="1"/>
  <c r="Q23" i="3" a="1"/>
  <c r="P23" i="3" a="1"/>
  <c r="AJ153" i="3" a="1"/>
  <c r="P153" i="3" a="1"/>
  <c r="AK153" i="3" a="1"/>
  <c r="Q12" i="3" a="1"/>
  <c r="O35" i="5"/>
  <c r="W35" i="5"/>
  <c r="AE35" i="5"/>
  <c r="AM35" i="5"/>
  <c r="P362" i="3" a="1"/>
  <c r="AJ362" i="3" a="1"/>
  <c r="AK362" i="3" a="1"/>
  <c r="Q148" i="3" a="1"/>
  <c r="Q362" i="3" a="1"/>
  <c r="P148" i="3" a="1"/>
  <c r="AJ148" i="3" a="1"/>
  <c r="AK148" i="3" a="1"/>
  <c r="AW46" i="5"/>
  <c r="BE46" i="5"/>
  <c r="BM46" i="5"/>
  <c r="BU46" i="5"/>
  <c r="I58" i="5"/>
  <c r="Q58" i="5"/>
  <c r="Y58" i="5"/>
  <c r="AG58" i="5"/>
  <c r="AO58" i="5"/>
  <c r="U62" i="5"/>
  <c r="AC62" i="5"/>
  <c r="AB62" i="5" s="1"/>
  <c r="AA62" i="5" s="1"/>
  <c r="Z62" i="5" s="1"/>
  <c r="Y62" i="5" s="1"/>
  <c r="AK62" i="5"/>
  <c r="I68" i="5"/>
  <c r="Q68" i="5"/>
  <c r="Y68" i="5"/>
  <c r="AG68" i="5"/>
  <c r="AO68" i="5"/>
  <c r="AJ253" i="3" a="1"/>
  <c r="P253" i="3" a="1"/>
  <c r="AK253" i="3" a="1"/>
  <c r="Q253" i="3" a="1"/>
  <c r="AS74" i="5"/>
  <c r="AS82" i="5" s="1"/>
  <c r="BA74" i="5"/>
  <c r="BA82" i="5" s="1"/>
  <c r="BI74" i="5"/>
  <c r="BQ74" i="5"/>
  <c r="BQ82" i="5" s="1"/>
  <c r="AY78" i="5"/>
  <c r="BG78" i="5"/>
  <c r="M93" i="5"/>
  <c r="U93" i="5"/>
  <c r="AC93" i="5"/>
  <c r="AK93" i="5"/>
  <c r="AU105" i="5"/>
  <c r="BC105" i="5"/>
  <c r="BK105" i="5"/>
  <c r="BS105" i="5"/>
  <c r="K122" i="5"/>
  <c r="S122" i="5"/>
  <c r="AA122" i="5"/>
  <c r="AI122" i="5"/>
  <c r="AQ122" i="5"/>
  <c r="K128" i="5"/>
  <c r="J128" i="5" s="1"/>
  <c r="I128" i="5" s="1"/>
  <c r="AI128" i="5"/>
  <c r="O133" i="5"/>
  <c r="AM133" i="5"/>
  <c r="S138" i="5"/>
  <c r="M68" i="5"/>
  <c r="AL473" i="3" a="1"/>
  <c r="AL491" i="3" a="1"/>
  <c r="AL150" i="3" a="1"/>
  <c r="S491" i="3" a="1"/>
  <c r="AM10" i="3" a="1"/>
  <c r="S22" i="3" a="1"/>
  <c r="S10" i="3" a="1"/>
  <c r="R473" i="3" a="1"/>
  <c r="AM491" i="3" a="1"/>
  <c r="AM473" i="3" a="1"/>
  <c r="AM22" i="3" a="1"/>
  <c r="AL22" i="3" a="1"/>
  <c r="AL10" i="3" a="1"/>
  <c r="AM150" i="3" a="1"/>
  <c r="R491" i="3" a="1"/>
  <c r="S473" i="3" a="1"/>
  <c r="R22" i="3" a="1"/>
  <c r="S150" i="3" a="1"/>
  <c r="R150" i="3" a="1"/>
  <c r="R10" i="3" a="1"/>
  <c r="AJ35" i="5"/>
  <c r="R248" i="3" a="1"/>
  <c r="AM149" i="3" a="1"/>
  <c r="S248" i="3" a="1"/>
  <c r="S149" i="3" a="1"/>
  <c r="AM248" i="3" a="1"/>
  <c r="R149" i="3" a="1"/>
  <c r="AL248" i="3" a="1"/>
  <c r="AL149" i="3" a="1"/>
  <c r="AT46" i="5"/>
  <c r="BR46" i="5"/>
  <c r="AR155" i="5"/>
  <c r="AP214" i="5"/>
  <c r="AW348" i="5"/>
  <c r="U35" i="5"/>
  <c r="AK35" i="5"/>
  <c r="P363" i="3" a="1"/>
  <c r="AJ363" i="3" a="1"/>
  <c r="AK152" i="3" a="1"/>
  <c r="Q363" i="3" a="1"/>
  <c r="AK363" i="3" a="1"/>
  <c r="P152" i="3" a="1"/>
  <c r="AJ152" i="3" a="1"/>
  <c r="Q152" i="3" a="1"/>
  <c r="AU46" i="5"/>
  <c r="BS46" i="5"/>
  <c r="AM68" i="5"/>
  <c r="BO74" i="5"/>
  <c r="BU78" i="5"/>
  <c r="P128" i="5"/>
  <c r="O128" i="5" s="1"/>
  <c r="AJ133" i="5"/>
  <c r="AI133" i="5" s="1"/>
  <c r="AH133" i="5" s="1"/>
  <c r="AG133" i="5" s="1"/>
  <c r="AF133" i="5" s="1"/>
  <c r="AE133" i="5" s="1"/>
  <c r="AD133" i="5" s="1"/>
  <c r="AC133" i="5" s="1"/>
  <c r="AB133" i="5" s="1"/>
  <c r="AA133" i="5" s="1"/>
  <c r="L143" i="5"/>
  <c r="K143" i="5" s="1"/>
  <c r="J143" i="5" s="1"/>
  <c r="I143" i="5" s="1"/>
  <c r="P466" i="3" a="1"/>
  <c r="AK466" i="3" a="1"/>
  <c r="AJ466" i="3" a="1"/>
  <c r="Q466" i="3" a="1"/>
  <c r="AT169" i="5"/>
  <c r="AS169" i="5" s="1"/>
  <c r="BS164" i="5" s="1"/>
  <c r="BP164" i="5" s="1"/>
  <c r="AI214" i="5"/>
  <c r="R256" i="3" a="1"/>
  <c r="AL256" i="3" a="1"/>
  <c r="R20" i="3" a="1"/>
  <c r="S20" i="3" a="1"/>
  <c r="S8" i="3" a="1"/>
  <c r="S256" i="3" a="1"/>
  <c r="AL20" i="3" a="1"/>
  <c r="AM8" i="3" a="1"/>
  <c r="AM256" i="3" a="1"/>
  <c r="AM20" i="3" a="1"/>
  <c r="AL8" i="3" a="1"/>
  <c r="R8" i="3" a="1"/>
  <c r="R23" i="3" a="1"/>
  <c r="AL733" i="3" a="1"/>
  <c r="R12" i="3" a="1"/>
  <c r="AM153" i="3" a="1"/>
  <c r="AM23" i="3" a="1"/>
  <c r="S23" i="3" a="1"/>
  <c r="AL12" i="3" a="1"/>
  <c r="AM733" i="3" a="1"/>
  <c r="S12" i="3" a="1"/>
  <c r="AL23" i="3" a="1"/>
  <c r="S733" i="3" a="1"/>
  <c r="S153" i="3" a="1"/>
  <c r="AL153" i="3" a="1"/>
  <c r="R733" i="3" a="1"/>
  <c r="R153" i="3" a="1"/>
  <c r="AM12" i="3" a="1"/>
  <c r="AF249" i="3" a="1"/>
  <c r="Y122" i="6" a="1"/>
  <c r="K249" i="3" a="1"/>
  <c r="J249" i="3" a="1"/>
  <c r="AE151" i="3" a="1"/>
  <c r="M151" i="3" a="1"/>
  <c r="I249" i="3" a="1"/>
  <c r="M249" i="3" a="1"/>
  <c r="I122" i="6" a="1"/>
  <c r="I151" i="3" a="1"/>
  <c r="K151" i="3" a="1"/>
  <c r="AA122" i="6" a="1"/>
  <c r="J122" i="6" a="1"/>
  <c r="Z151" i="3" a="1"/>
  <c r="AG249" i="3" a="1"/>
  <c r="AR39" i="5"/>
  <c r="Z122" i="6" a="1"/>
  <c r="AF151" i="3" a="1"/>
  <c r="L249" i="3" a="1"/>
  <c r="AD249" i="3" a="1"/>
  <c r="K122" i="6" a="1"/>
  <c r="AD151" i="3" a="1"/>
  <c r="F151" i="3" a="1"/>
  <c r="AE249" i="3" a="1"/>
  <c r="H249" i="3" a="1"/>
  <c r="F122" i="6" a="1"/>
  <c r="H122" i="6" a="1"/>
  <c r="J151" i="3" a="1"/>
  <c r="AC249" i="3" a="1"/>
  <c r="AB249" i="3" a="1"/>
  <c r="L151" i="3" a="1"/>
  <c r="AG151" i="3" a="1"/>
  <c r="Z249" i="3" a="1"/>
  <c r="X122" i="6" a="1"/>
  <c r="H151" i="3" a="1"/>
  <c r="AB151" i="3" a="1"/>
  <c r="F249" i="3" a="1"/>
  <c r="V122" i="6" a="1"/>
  <c r="AC151" i="3" a="1"/>
  <c r="Y124" i="6" a="1"/>
  <c r="K154" i="3" a="1"/>
  <c r="F154" i="3" a="1"/>
  <c r="K250" i="3" a="1"/>
  <c r="AD154" i="3" a="1"/>
  <c r="AC154" i="3" a="1"/>
  <c r="AA124" i="6" a="1"/>
  <c r="AF154" i="3" a="1"/>
  <c r="AG250" i="3" a="1"/>
  <c r="M250" i="3" a="1"/>
  <c r="Z250" i="3" a="1"/>
  <c r="AB250" i="3" a="1"/>
  <c r="AC250" i="3" a="1"/>
  <c r="J124" i="6" a="1"/>
  <c r="K124" i="6" a="1"/>
  <c r="I124" i="6" a="1"/>
  <c r="AR41" i="5"/>
  <c r="L154" i="3" a="1"/>
  <c r="AD250" i="3" a="1"/>
  <c r="I250" i="3" a="1"/>
  <c r="J154" i="3" a="1"/>
  <c r="J250" i="3" a="1"/>
  <c r="Z154" i="3" a="1"/>
  <c r="AE154" i="3" a="1"/>
  <c r="M154" i="3" a="1"/>
  <c r="H250" i="3" a="1"/>
  <c r="AF250" i="3" a="1"/>
  <c r="Z124" i="6" a="1"/>
  <c r="X124" i="6" a="1"/>
  <c r="AB154" i="3" a="1"/>
  <c r="H124" i="6" a="1"/>
  <c r="AG154" i="3" a="1"/>
  <c r="F250" i="3" a="1"/>
  <c r="F124" i="6" a="1"/>
  <c r="AE250" i="3" a="1"/>
  <c r="V124" i="6" a="1"/>
  <c r="I154" i="3" a="1"/>
  <c r="H154" i="3" a="1"/>
  <c r="L250" i="3" a="1"/>
  <c r="AG152" i="3" a="1"/>
  <c r="K363" i="3" a="1"/>
  <c r="AD363" i="3" a="1"/>
  <c r="J363" i="3" a="1"/>
  <c r="AB363" i="3" a="1"/>
  <c r="K152" i="3" a="1"/>
  <c r="F152" i="3" a="1"/>
  <c r="AF363" i="3" a="1"/>
  <c r="M152" i="3" a="1"/>
  <c r="AB152" i="3" a="1"/>
  <c r="AD152" i="3" a="1"/>
  <c r="AE152" i="3" a="1"/>
  <c r="AR43" i="5"/>
  <c r="Z363" i="3" a="1"/>
  <c r="AE363" i="3" a="1"/>
  <c r="I363" i="3" a="1"/>
  <c r="H363" i="3" a="1"/>
  <c r="AC152" i="3" a="1"/>
  <c r="I152" i="3" a="1"/>
  <c r="AC363" i="3" a="1"/>
  <c r="Z152" i="3" a="1"/>
  <c r="AG363" i="3" a="1"/>
  <c r="J152" i="3" a="1"/>
  <c r="M363" i="3" a="1"/>
  <c r="AF152" i="3" a="1"/>
  <c r="L363" i="3" a="1"/>
  <c r="H152" i="3" a="1"/>
  <c r="L152" i="3" a="1"/>
  <c r="F363" i="3" a="1"/>
  <c r="AR45" i="5"/>
  <c r="P35" i="5"/>
  <c r="X35" i="5"/>
  <c r="AF35" i="5"/>
  <c r="AN35" i="5"/>
  <c r="AM148" i="3" a="1"/>
  <c r="AL148" i="3" a="1"/>
  <c r="R362" i="3" a="1"/>
  <c r="S148" i="3" a="1"/>
  <c r="S362" i="3" a="1"/>
  <c r="R148" i="3" a="1"/>
  <c r="AL362" i="3" a="1"/>
  <c r="AM362" i="3" a="1"/>
  <c r="AX46" i="5"/>
  <c r="BF46" i="5"/>
  <c r="BN46" i="5"/>
  <c r="BV46" i="5"/>
  <c r="J58" i="5"/>
  <c r="R58" i="5"/>
  <c r="Z58" i="5"/>
  <c r="AH58" i="5"/>
  <c r="AP58" i="5"/>
  <c r="V62" i="5"/>
  <c r="AD62" i="5"/>
  <c r="AL62" i="5"/>
  <c r="J68" i="5"/>
  <c r="R68" i="5"/>
  <c r="Z68" i="5"/>
  <c r="AH68" i="5"/>
  <c r="U68" i="5" s="1"/>
  <c r="T68" i="5" s="1"/>
  <c r="AQ62" i="5" s="1"/>
  <c r="AP68" i="5"/>
  <c r="AP84" i="5" s="1"/>
  <c r="AL253" i="3" a="1"/>
  <c r="R253" i="3" a="1"/>
  <c r="S253" i="3" a="1"/>
  <c r="AM253" i="3" a="1"/>
  <c r="AT74" i="5"/>
  <c r="BB74" i="5"/>
  <c r="BJ74" i="5"/>
  <c r="BR74" i="5"/>
  <c r="BO78" i="5"/>
  <c r="N93" i="5"/>
  <c r="V93" i="5"/>
  <c r="AD93" i="5"/>
  <c r="AL93" i="5"/>
  <c r="AV105" i="5"/>
  <c r="BD105" i="5"/>
  <c r="BL105" i="5"/>
  <c r="BT105" i="5"/>
  <c r="L122" i="5"/>
  <c r="T122" i="5"/>
  <c r="AB122" i="5"/>
  <c r="AJ122" i="5"/>
  <c r="AR122" i="5"/>
  <c r="AR154" i="5"/>
  <c r="AR156" i="5"/>
  <c r="L128" i="5"/>
  <c r="AR163" i="5"/>
  <c r="AR128" i="5"/>
  <c r="AR166" i="5"/>
  <c r="T138" i="5"/>
  <c r="AR138" i="5"/>
  <c r="AR170" i="5"/>
  <c r="AR172" i="5"/>
  <c r="AN143" i="5"/>
  <c r="AM143" i="5" s="1"/>
  <c r="AR176" i="5"/>
  <c r="H473" i="3" a="1"/>
  <c r="AD473" i="3" a="1"/>
  <c r="J473" i="3" a="1"/>
  <c r="K473" i="3" a="1"/>
  <c r="Z473" i="3" a="1"/>
  <c r="AC473" i="3" a="1"/>
  <c r="F473" i="3" a="1"/>
  <c r="M473" i="3" a="1"/>
  <c r="AR180" i="5"/>
  <c r="AF473" i="3" a="1"/>
  <c r="AE473" i="3" a="1"/>
  <c r="L473" i="3" a="1"/>
  <c r="AG473" i="3" a="1"/>
  <c r="AB473" i="3" a="1"/>
  <c r="I473" i="3" a="1"/>
  <c r="AT153" i="5"/>
  <c r="AL626" i="3" a="1"/>
  <c r="S626" i="3" a="1"/>
  <c r="R626" i="3" a="1"/>
  <c r="AM626" i="3" a="1"/>
  <c r="AT222" i="5"/>
  <c r="BB222" i="5"/>
  <c r="K35" i="5"/>
  <c r="N120" i="6" a="1"/>
  <c r="AJ149" i="3" a="1"/>
  <c r="Q149" i="3" a="1"/>
  <c r="AK149" i="3" a="1"/>
  <c r="Q248" i="3" a="1"/>
  <c r="P149" i="3" a="1"/>
  <c r="O120" i="6" a="1"/>
  <c r="P248" i="3" a="1"/>
  <c r="AD120" i="6" a="1"/>
  <c r="AJ248" i="3" a="1"/>
  <c r="AK248" i="3" a="1"/>
  <c r="AE120" i="6" a="1"/>
  <c r="BA46" i="5"/>
  <c r="AC68" i="5"/>
  <c r="I362" i="3" a="1"/>
  <c r="AE148" i="3" a="1"/>
  <c r="J148" i="3" a="1"/>
  <c r="H148" i="3" a="1"/>
  <c r="AF362" i="3" a="1"/>
  <c r="L148" i="3" a="1"/>
  <c r="AB148" i="3" a="1"/>
  <c r="M362" i="3" a="1"/>
  <c r="Z148" i="3" a="1"/>
  <c r="AD148" i="3" a="1"/>
  <c r="K362" i="3" a="1"/>
  <c r="M148" i="3" a="1"/>
  <c r="AC148" i="3" a="1"/>
  <c r="J362" i="3" a="1"/>
  <c r="AF148" i="3" a="1"/>
  <c r="AE362" i="3" a="1"/>
  <c r="F148" i="3" a="1"/>
  <c r="AB362" i="3" a="1"/>
  <c r="I148" i="3" a="1"/>
  <c r="AG362" i="3" a="1"/>
  <c r="L362" i="3" a="1"/>
  <c r="K148" i="3" a="1"/>
  <c r="Z362" i="3" a="1"/>
  <c r="AC362" i="3" a="1"/>
  <c r="H362" i="3" a="1"/>
  <c r="AG148" i="3" a="1"/>
  <c r="AD362" i="3" a="1"/>
  <c r="AR42" i="5"/>
  <c r="F362" i="3" a="1"/>
  <c r="L35" i="5"/>
  <c r="Q93" i="5"/>
  <c r="AR133" i="5"/>
  <c r="AR165" i="5"/>
  <c r="AR167" i="5"/>
  <c r="AR171" i="5"/>
  <c r="AR143" i="5"/>
  <c r="AR175" i="5"/>
  <c r="AR177" i="5"/>
  <c r="AE489" i="3" a="1"/>
  <c r="AB489" i="3" a="1"/>
  <c r="F489" i="3" a="1"/>
  <c r="K489" i="3" a="1"/>
  <c r="Z489" i="3" a="1"/>
  <c r="AF489" i="3" a="1"/>
  <c r="AG489" i="3" a="1"/>
  <c r="H489" i="3" a="1"/>
  <c r="AR197" i="5"/>
  <c r="AC489" i="3" a="1"/>
  <c r="J489" i="3" a="1"/>
  <c r="L489" i="3" a="1"/>
  <c r="I489" i="3" a="1"/>
  <c r="M489" i="3" a="1"/>
  <c r="AD489" i="3" a="1"/>
  <c r="J214" i="5"/>
  <c r="BE348" i="5"/>
  <c r="BD348" i="5" s="1"/>
  <c r="BC348" i="5" s="1"/>
  <c r="AK13" i="3" a="1"/>
  <c r="AJ13" i="3" a="1"/>
  <c r="Q13" i="3" a="1"/>
  <c r="P13" i="3" a="1"/>
  <c r="AC35" i="5"/>
  <c r="BC46" i="5"/>
  <c r="O68" i="5"/>
  <c r="BG74" i="5"/>
  <c r="BE78" i="5"/>
  <c r="BQ105" i="5"/>
  <c r="AJ143" i="5"/>
  <c r="AI143" i="5" s="1"/>
  <c r="AH143" i="5" s="1"/>
  <c r="AG143" i="5" s="1"/>
  <c r="AF143" i="5" s="1"/>
  <c r="AE143" i="5" s="1"/>
  <c r="AD143" i="5" s="1"/>
  <c r="AC143" i="5" s="1"/>
  <c r="AB143" i="5" s="1"/>
  <c r="AA143" i="5" s="1"/>
  <c r="Z143" i="5" s="1"/>
  <c r="Y143" i="5" s="1"/>
  <c r="X143" i="5" s="1"/>
  <c r="AK629" i="3" a="1"/>
  <c r="Q629" i="3" a="1"/>
  <c r="O281" i="6" a="1"/>
  <c r="AD281" i="6" a="1"/>
  <c r="AE281" i="6" a="1"/>
  <c r="P629" i="3" a="1"/>
  <c r="AJ629" i="3" a="1"/>
  <c r="AJ11" i="3" a="1"/>
  <c r="AK11" i="3" a="1"/>
  <c r="Q11" i="3" a="1"/>
  <c r="N281" i="6" a="1"/>
  <c r="P11" i="3" a="1"/>
  <c r="I35" i="5"/>
  <c r="Q35" i="5"/>
  <c r="Y35" i="5"/>
  <c r="AG35" i="5"/>
  <c r="AO35" i="5"/>
  <c r="P250" i="3" a="1"/>
  <c r="Q250" i="3" a="1"/>
  <c r="AJ154" i="3" a="1"/>
  <c r="AK250" i="3" a="1"/>
  <c r="AK154" i="3" a="1"/>
  <c r="O124" i="6" a="1"/>
  <c r="N124" i="6" a="1"/>
  <c r="AE124" i="6" a="1"/>
  <c r="Q154" i="3" a="1"/>
  <c r="AD124" i="6" a="1"/>
  <c r="P154" i="3" a="1"/>
  <c r="AJ250" i="3" a="1"/>
  <c r="AY46" i="5"/>
  <c r="BG46" i="5"/>
  <c r="BO46" i="5"/>
  <c r="K58" i="5"/>
  <c r="S58" i="5"/>
  <c r="AA58" i="5"/>
  <c r="AI58" i="5"/>
  <c r="AE62" i="5"/>
  <c r="AE66" i="5" s="1"/>
  <c r="AM62" i="5"/>
  <c r="K68" i="5"/>
  <c r="S68" i="5"/>
  <c r="AA68" i="5"/>
  <c r="AI68" i="5"/>
  <c r="AQ68" i="5"/>
  <c r="AU74" i="5"/>
  <c r="BC74" i="5"/>
  <c r="BK74" i="5"/>
  <c r="BS74" i="5"/>
  <c r="O93" i="5"/>
  <c r="W93" i="5"/>
  <c r="AM93" i="5"/>
  <c r="AW105" i="5"/>
  <c r="BE105" i="5"/>
  <c r="BM105" i="5"/>
  <c r="BU105" i="5"/>
  <c r="BI105" i="5" s="1"/>
  <c r="M122" i="5"/>
  <c r="U122" i="5"/>
  <c r="AC122" i="5"/>
  <c r="AK122" i="5"/>
  <c r="U128" i="5"/>
  <c r="T128" i="5" s="1"/>
  <c r="S128" i="5" s="1"/>
  <c r="R128" i="5" s="1"/>
  <c r="AK128" i="5"/>
  <c r="Q133" i="5"/>
  <c r="Y133" i="5"/>
  <c r="X133" i="5" s="1"/>
  <c r="AO133" i="5"/>
  <c r="AN133" i="5" s="1"/>
  <c r="W133" i="5" s="1"/>
  <c r="U138" i="5"/>
  <c r="AK138" i="5"/>
  <c r="AJ138" i="5" s="1"/>
  <c r="AI138" i="5" s="1"/>
  <c r="AH138" i="5" s="1"/>
  <c r="AG138" i="5" s="1"/>
  <c r="AF138" i="5" s="1"/>
  <c r="AE138" i="5" s="1"/>
  <c r="AD138" i="5" s="1"/>
  <c r="AC138" i="5" s="1"/>
  <c r="AB138" i="5" s="1"/>
  <c r="AA138" i="5" s="1"/>
  <c r="Q143" i="5"/>
  <c r="P143" i="5" s="1"/>
  <c r="O143" i="5" s="1"/>
  <c r="AO143" i="5"/>
  <c r="AU153" i="5"/>
  <c r="BC153" i="5"/>
  <c r="P625" i="3" a="1"/>
  <c r="O277" i="6" a="1"/>
  <c r="AJ625" i="3" a="1"/>
  <c r="AD277" i="6" a="1"/>
  <c r="AK625" i="3" a="1"/>
  <c r="Q625" i="3" a="1"/>
  <c r="AE277" i="6" a="1"/>
  <c r="N277" i="6" a="1"/>
  <c r="AU222" i="5"/>
  <c r="BC222" i="5"/>
  <c r="BS222" i="5"/>
  <c r="AV310" i="5"/>
  <c r="BD310" i="5"/>
  <c r="BL310" i="5"/>
  <c r="BT310" i="5"/>
  <c r="BN310" i="5" s="1"/>
  <c r="AK268" i="5" s="1"/>
  <c r="AJ268" i="5" s="1"/>
  <c r="AP189" i="5" s="1"/>
  <c r="AJ156" i="3" a="1"/>
  <c r="AK24" i="3" a="1"/>
  <c r="Q24" i="3" a="1"/>
  <c r="P24" i="3" a="1"/>
  <c r="AK156" i="3" a="1"/>
  <c r="P156" i="3" a="1"/>
  <c r="Q156" i="3" a="1"/>
  <c r="AJ24" i="3" a="1"/>
  <c r="AA35" i="5"/>
  <c r="AS46" i="5"/>
  <c r="BQ46" i="5"/>
  <c r="AM156" i="3" a="1"/>
  <c r="R156" i="3" a="1"/>
  <c r="AL24" i="3" a="1"/>
  <c r="R24" i="3" a="1"/>
  <c r="AL156" i="3" a="1"/>
  <c r="S24" i="3" a="1"/>
  <c r="S156" i="3" a="1"/>
  <c r="AM24" i="3" a="1"/>
  <c r="H149" i="3" a="1"/>
  <c r="AD149" i="3" a="1"/>
  <c r="M149" i="3" a="1"/>
  <c r="J149" i="3" a="1"/>
  <c r="K149" i="3" a="1"/>
  <c r="AC149" i="3" a="1"/>
  <c r="AF149" i="3" a="1"/>
  <c r="K120" i="6" a="1"/>
  <c r="H120" i="6" a="1"/>
  <c r="AR40" i="5"/>
  <c r="Y120" i="6" a="1"/>
  <c r="K248" i="3" a="1"/>
  <c r="H248" i="3" a="1"/>
  <c r="I120" i="6" a="1"/>
  <c r="AE248" i="3" a="1"/>
  <c r="L248" i="3" a="1"/>
  <c r="I149" i="3" a="1"/>
  <c r="F149" i="3" a="1"/>
  <c r="AA120" i="6" a="1"/>
  <c r="AC248" i="3" a="1"/>
  <c r="F248" i="3" a="1"/>
  <c r="Z120" i="6" a="1"/>
  <c r="AG248" i="3" a="1"/>
  <c r="J248" i="3" a="1"/>
  <c r="J120" i="6" a="1"/>
  <c r="AG149" i="3" a="1"/>
  <c r="Z248" i="3" a="1"/>
  <c r="V120" i="6" a="1"/>
  <c r="AB149" i="3" a="1"/>
  <c r="AE149" i="3" a="1"/>
  <c r="M248" i="3" a="1"/>
  <c r="F120" i="6" a="1"/>
  <c r="AF248" i="3" a="1"/>
  <c r="AD248" i="3" a="1"/>
  <c r="AB248" i="3" a="1"/>
  <c r="X120" i="6" a="1"/>
  <c r="Z149" i="3" a="1"/>
  <c r="I248" i="3" a="1"/>
  <c r="L149" i="3" a="1"/>
  <c r="AB35" i="5"/>
  <c r="AR47" i="5"/>
  <c r="AR35" i="5"/>
  <c r="BB46" i="5"/>
  <c r="N68" i="5"/>
  <c r="AD68" i="5"/>
  <c r="AL68" i="5"/>
  <c r="AM364" i="3" a="1"/>
  <c r="R364" i="3" a="1"/>
  <c r="S364" i="3" a="1"/>
  <c r="AL364" i="3" a="1"/>
  <c r="AC466" i="3" a="1"/>
  <c r="F466" i="3" a="1"/>
  <c r="AD466" i="3" a="1"/>
  <c r="K466" i="3" a="1"/>
  <c r="AR152" i="5"/>
  <c r="AB466" i="3" a="1"/>
  <c r="Z466" i="3" a="1"/>
  <c r="I466" i="3" a="1"/>
  <c r="AF466" i="3" a="1"/>
  <c r="L466" i="3" a="1"/>
  <c r="H466" i="3" a="1"/>
  <c r="M466" i="3" a="1"/>
  <c r="J466" i="3" a="1"/>
  <c r="AE466" i="3" a="1"/>
  <c r="AG466" i="3" a="1"/>
  <c r="AR157" i="5"/>
  <c r="AQ128" i="5"/>
  <c r="R214" i="5"/>
  <c r="BM348" i="5"/>
  <c r="Q9" i="3" a="1"/>
  <c r="Q366" i="3" a="1"/>
  <c r="P9" i="3" a="1"/>
  <c r="AK366" i="3" a="1"/>
  <c r="Q21" i="3" a="1"/>
  <c r="AJ366" i="3" a="1"/>
  <c r="P366" i="3" a="1"/>
  <c r="AJ9" i="3" a="1"/>
  <c r="AK9" i="3" a="1"/>
  <c r="P21" i="3" a="1"/>
  <c r="AJ21" i="3" a="1"/>
  <c r="AK21" i="3" a="1"/>
  <c r="M35" i="5"/>
  <c r="BK46" i="5"/>
  <c r="W68" i="5"/>
  <c r="AK254" i="3" a="1"/>
  <c r="Q254" i="3" a="1"/>
  <c r="AJ254" i="3" a="1"/>
  <c r="P254" i="3" a="1"/>
  <c r="BM78" i="5"/>
  <c r="BA105" i="5"/>
  <c r="L133" i="5"/>
  <c r="K133" i="5" s="1"/>
  <c r="J133" i="5" s="1"/>
  <c r="I133" i="5" s="1"/>
  <c r="AJ488" i="3" a="1"/>
  <c r="AK488" i="3" a="1"/>
  <c r="Q488" i="3" a="1"/>
  <c r="P488" i="3" a="1"/>
  <c r="AQ214" i="5"/>
  <c r="AF256" i="3" a="1"/>
  <c r="J20" i="3" a="1"/>
  <c r="K256" i="3" a="1"/>
  <c r="AG8" i="3" a="1"/>
  <c r="Z20" i="3" a="1"/>
  <c r="AB20" i="3" a="1"/>
  <c r="AG256" i="3" a="1"/>
  <c r="H8" i="3" a="1"/>
  <c r="AE20" i="3" a="1"/>
  <c r="H256" i="3" a="1"/>
  <c r="AB8" i="3" a="1"/>
  <c r="Z256" i="3" a="1"/>
  <c r="L8" i="3" a="1"/>
  <c r="F8" i="3" a="1"/>
  <c r="H20" i="3" a="1"/>
  <c r="AE8" i="3" a="1"/>
  <c r="F256" i="3" a="1"/>
  <c r="AC8" i="3" a="1"/>
  <c r="J256" i="3" a="1"/>
  <c r="AR15" i="5"/>
  <c r="AD256" i="3" a="1"/>
  <c r="AC20" i="3" a="1"/>
  <c r="AE256" i="3" a="1"/>
  <c r="Z8" i="3" a="1"/>
  <c r="AF20" i="3" a="1"/>
  <c r="F20" i="3" a="1"/>
  <c r="I256" i="3" a="1"/>
  <c r="AD8" i="3" a="1"/>
  <c r="K8" i="3" a="1"/>
  <c r="M8" i="3" a="1"/>
  <c r="AG20" i="3" a="1"/>
  <c r="AC256" i="3" a="1"/>
  <c r="AB256" i="3" a="1"/>
  <c r="L256" i="3" a="1"/>
  <c r="AD20" i="3" a="1"/>
  <c r="I20" i="3" a="1"/>
  <c r="M20" i="3" a="1"/>
  <c r="AF8" i="3" a="1"/>
  <c r="K20" i="3" a="1"/>
  <c r="J8" i="3" a="1"/>
  <c r="M256" i="3" a="1"/>
  <c r="I8" i="3" a="1"/>
  <c r="L20" i="3" a="1"/>
  <c r="L491" i="3" a="1"/>
  <c r="J22" i="3" a="1"/>
  <c r="K22" i="3" a="1"/>
  <c r="AR17" i="5"/>
  <c r="AC22" i="3" a="1"/>
  <c r="Z121" i="6" a="1"/>
  <c r="AG491" i="3" a="1"/>
  <c r="AC150" i="3" a="1"/>
  <c r="AD491" i="3" a="1"/>
  <c r="AG22" i="3" a="1"/>
  <c r="Z10" i="3" a="1"/>
  <c r="K10" i="3" a="1"/>
  <c r="M22" i="3" a="1"/>
  <c r="I22" i="3" a="1"/>
  <c r="J121" i="6" a="1"/>
  <c r="AF150" i="3" a="1"/>
  <c r="AA121" i="6" a="1"/>
  <c r="F150" i="3" a="1"/>
  <c r="H22" i="3" a="1"/>
  <c r="I121" i="6" a="1"/>
  <c r="AB10" i="3" a="1"/>
  <c r="K150" i="3" a="1"/>
  <c r="H121" i="6" a="1"/>
  <c r="AD10" i="3" a="1"/>
  <c r="AF491" i="3" a="1"/>
  <c r="M491" i="3" a="1"/>
  <c r="M150" i="3" a="1"/>
  <c r="Z22" i="3" a="1"/>
  <c r="AC491" i="3" a="1"/>
  <c r="AC10" i="3" a="1"/>
  <c r="V121" i="6" a="1"/>
  <c r="L150" i="3" a="1"/>
  <c r="K121" i="6" a="1"/>
  <c r="AB22" i="3" a="1"/>
  <c r="H491" i="3" a="1"/>
  <c r="I10" i="3" a="1"/>
  <c r="F121" i="6" a="1"/>
  <c r="J491" i="3" a="1"/>
  <c r="F10" i="3" a="1"/>
  <c r="AG150" i="3" a="1"/>
  <c r="AD22" i="3" a="1"/>
  <c r="F22" i="3" a="1"/>
  <c r="Y121" i="6" a="1"/>
  <c r="Z491" i="3" a="1"/>
  <c r="Z150" i="3" a="1"/>
  <c r="AG10" i="3" a="1"/>
  <c r="AD150" i="3" a="1"/>
  <c r="X121" i="6" a="1"/>
  <c r="H150" i="3" a="1"/>
  <c r="AE10" i="3" a="1"/>
  <c r="L10" i="3" a="1"/>
  <c r="AB491" i="3" a="1"/>
  <c r="J10" i="3" a="1"/>
  <c r="H10" i="3" a="1"/>
  <c r="M10" i="3" a="1"/>
  <c r="K491" i="3" a="1"/>
  <c r="AF22" i="3" a="1"/>
  <c r="AE491" i="3" a="1"/>
  <c r="AE22" i="3" a="1"/>
  <c r="I491" i="3" a="1"/>
  <c r="J150" i="3" a="1"/>
  <c r="AF10" i="3" a="1"/>
  <c r="AE150" i="3" a="1"/>
  <c r="L22" i="3" a="1"/>
  <c r="F491" i="3" a="1"/>
  <c r="I150" i="3" a="1"/>
  <c r="AB150" i="3" a="1"/>
  <c r="M733" i="3" a="1"/>
  <c r="AB153" i="3" a="1"/>
  <c r="K153" i="3" a="1"/>
  <c r="AF153" i="3" a="1"/>
  <c r="Z153" i="3" a="1"/>
  <c r="AB12" i="3" a="1"/>
  <c r="AF12" i="3" a="1"/>
  <c r="AD23" i="3" a="1"/>
  <c r="K12" i="3" a="1"/>
  <c r="AF733" i="3" a="1"/>
  <c r="AG153" i="3" a="1"/>
  <c r="L23" i="3" a="1"/>
  <c r="AE12" i="3" a="1"/>
  <c r="AC733" i="3" a="1"/>
  <c r="L733" i="3" a="1"/>
  <c r="L153" i="3" a="1"/>
  <c r="AF23" i="3" a="1"/>
  <c r="AC12" i="3" a="1"/>
  <c r="AB23" i="3" a="1"/>
  <c r="AC23" i="3" a="1"/>
  <c r="F12" i="3" a="1"/>
  <c r="M153" i="3" a="1"/>
  <c r="AE23" i="3" a="1"/>
  <c r="H12" i="3" a="1"/>
  <c r="I23" i="3" a="1"/>
  <c r="AG733" i="3" a="1"/>
  <c r="I153" i="3" a="1"/>
  <c r="K733" i="3" a="1"/>
  <c r="F23" i="3" a="1"/>
  <c r="AG12" i="3" a="1"/>
  <c r="H153" i="3" a="1"/>
  <c r="H23" i="3" a="1"/>
  <c r="M12" i="3" a="1"/>
  <c r="AD12" i="3" a="1"/>
  <c r="F153" i="3" a="1"/>
  <c r="Z733" i="3" a="1"/>
  <c r="J153" i="3" a="1"/>
  <c r="Z23" i="3" a="1"/>
  <c r="I733" i="3" a="1"/>
  <c r="AB733" i="3" a="1"/>
  <c r="H733" i="3" a="1"/>
  <c r="J12" i="3" a="1"/>
  <c r="AD733" i="3" a="1"/>
  <c r="J23" i="3" a="1"/>
  <c r="M23" i="3" a="1"/>
  <c r="AD153" i="3" a="1"/>
  <c r="AR19" i="5"/>
  <c r="AE153" i="3" a="1"/>
  <c r="Z12" i="3" a="1"/>
  <c r="AG23" i="3" a="1"/>
  <c r="J733" i="3" a="1"/>
  <c r="K23" i="3" a="1"/>
  <c r="AC153" i="3" a="1"/>
  <c r="L12" i="3" a="1"/>
  <c r="AE733" i="3" a="1"/>
  <c r="I12" i="3" a="1"/>
  <c r="F733" i="3" a="1"/>
  <c r="K156" i="3" a="1"/>
  <c r="AE156" i="3" a="1"/>
  <c r="H156" i="3" a="1"/>
  <c r="F24" i="3" a="1"/>
  <c r="K24" i="3" a="1"/>
  <c r="AB156" i="3" a="1"/>
  <c r="Z24" i="3" a="1"/>
  <c r="AD156" i="3" a="1"/>
  <c r="AB24" i="3" a="1"/>
  <c r="AE24" i="3" a="1"/>
  <c r="Z156" i="3" a="1"/>
  <c r="J24" i="3" a="1"/>
  <c r="M24" i="3" a="1"/>
  <c r="L156" i="3" a="1"/>
  <c r="AC24" i="3" a="1"/>
  <c r="H24" i="3" a="1"/>
  <c r="AD24" i="3" a="1"/>
  <c r="AG156" i="3" a="1"/>
  <c r="J156" i="3" a="1"/>
  <c r="I156" i="3" a="1"/>
  <c r="F156" i="3" a="1"/>
  <c r="M156" i="3" a="1"/>
  <c r="AC156" i="3" a="1"/>
  <c r="AF24" i="3" a="1"/>
  <c r="I24" i="3" a="1"/>
  <c r="AR21" i="5"/>
  <c r="AF156" i="3" a="1"/>
  <c r="AG24" i="3" a="1"/>
  <c r="L24" i="3" a="1"/>
  <c r="S629" i="3" a="1"/>
  <c r="AM629" i="3" a="1"/>
  <c r="R629" i="3" a="1"/>
  <c r="AM11" i="3" a="1"/>
  <c r="S11" i="3" a="1"/>
  <c r="AL629" i="3" a="1"/>
  <c r="AL11" i="3" a="1"/>
  <c r="R11" i="3" a="1"/>
  <c r="J35" i="5"/>
  <c r="R35" i="5"/>
  <c r="Z35" i="5"/>
  <c r="AH35" i="5"/>
  <c r="AP35" i="5"/>
  <c r="R250" i="3" a="1"/>
  <c r="R154" i="3" a="1"/>
  <c r="AM154" i="3" a="1"/>
  <c r="AL250" i="3" a="1"/>
  <c r="AL154" i="3" a="1"/>
  <c r="AM250" i="3" a="1"/>
  <c r="S250" i="3" a="1"/>
  <c r="S154" i="3" a="1"/>
  <c r="AZ46" i="5"/>
  <c r="BH46" i="5"/>
  <c r="BP46" i="5"/>
  <c r="AR70" i="5"/>
  <c r="H253" i="3" a="1"/>
  <c r="K253" i="3" a="1"/>
  <c r="M253" i="3" a="1"/>
  <c r="Z253" i="3" a="1"/>
  <c r="AB253" i="3" a="1"/>
  <c r="AR72" i="5"/>
  <c r="F253" i="3" a="1"/>
  <c r="AC253" i="3" a="1"/>
  <c r="J253" i="3" a="1"/>
  <c r="AF253" i="3" a="1"/>
  <c r="AD253" i="3" a="1"/>
  <c r="AE253" i="3" a="1"/>
  <c r="I253" i="3" a="1"/>
  <c r="AG253" i="3" a="1"/>
  <c r="L253" i="3" a="1"/>
  <c r="AJ58" i="5"/>
  <c r="AR75" i="5"/>
  <c r="AR58" i="5"/>
  <c r="AR77" i="5"/>
  <c r="AR80" i="5"/>
  <c r="L68" i="5"/>
  <c r="AB68" i="5"/>
  <c r="AJ68" i="5"/>
  <c r="AR83" i="5"/>
  <c r="AR68" i="5"/>
  <c r="AR84" i="5" s="1"/>
  <c r="K125" i="6" a="1"/>
  <c r="X125" i="6" a="1"/>
  <c r="F125" i="6" a="1"/>
  <c r="J364" i="3" a="1"/>
  <c r="AR104" i="5"/>
  <c r="F364" i="3" a="1"/>
  <c r="AF364" i="3" a="1"/>
  <c r="Y125" i="6" a="1"/>
  <c r="Z364" i="3" a="1"/>
  <c r="AC364" i="3" a="1"/>
  <c r="AB364" i="3" a="1"/>
  <c r="K364" i="3" a="1"/>
  <c r="V125" i="6" a="1"/>
  <c r="H125" i="6" a="1"/>
  <c r="H364" i="3" a="1"/>
  <c r="AA125" i="6" a="1"/>
  <c r="AD364" i="3" a="1"/>
  <c r="J125" i="6" a="1"/>
  <c r="AG364" i="3" a="1"/>
  <c r="M364" i="3" a="1"/>
  <c r="AE364" i="3" a="1"/>
  <c r="L364" i="3" a="1"/>
  <c r="I125" i="6" a="1"/>
  <c r="Z125" i="6" a="1"/>
  <c r="I364" i="3" a="1"/>
  <c r="AR107" i="5"/>
  <c r="AR109" i="5"/>
  <c r="AR111" i="5"/>
  <c r="AX105" i="5"/>
  <c r="BF105" i="5"/>
  <c r="BN105" i="5"/>
  <c r="BV105" i="5"/>
  <c r="M128" i="5"/>
  <c r="AE122" i="5"/>
  <c r="AC128" i="5"/>
  <c r="AB128" i="5" s="1"/>
  <c r="AA128" i="5" s="1"/>
  <c r="Z128" i="5" s="1"/>
  <c r="Y128" i="5" s="1"/>
  <c r="P133" i="5"/>
  <c r="N133" i="5" s="1"/>
  <c r="AL128" i="5" s="1"/>
  <c r="R138" i="5"/>
  <c r="W143" i="5"/>
  <c r="AQ138" i="5" s="1"/>
  <c r="AV153" i="5"/>
  <c r="R731" i="3" a="1"/>
  <c r="AL731" i="3" a="1"/>
  <c r="AM731" i="3" a="1"/>
  <c r="S731" i="3" a="1"/>
  <c r="Z834" i="3" a="1"/>
  <c r="L834" i="3" a="1"/>
  <c r="AD834" i="3" a="1"/>
  <c r="F834" i="3" a="1"/>
  <c r="I834" i="3" a="1"/>
  <c r="AR253" i="5"/>
  <c r="AG834" i="3" a="1"/>
  <c r="M834" i="3" a="1"/>
  <c r="AB834" i="3" a="1"/>
  <c r="H834" i="3" a="1"/>
  <c r="AC834" i="3" a="1"/>
  <c r="AF834" i="3" a="1"/>
  <c r="J834" i="3" a="1"/>
  <c r="K834" i="3" a="1"/>
  <c r="AE834" i="3" a="1"/>
  <c r="H836" i="3" a="1"/>
  <c r="I836" i="3" a="1"/>
  <c r="M836" i="3" a="1"/>
  <c r="F836" i="3" a="1"/>
  <c r="Z836" i="3" a="1"/>
  <c r="L836" i="3" a="1"/>
  <c r="AB836" i="3" a="1"/>
  <c r="AF836" i="3" a="1"/>
  <c r="AD836" i="3" a="1"/>
  <c r="J836" i="3" a="1"/>
  <c r="AC836" i="3" a="1"/>
  <c r="K836" i="3" a="1"/>
  <c r="AE836" i="3" a="1"/>
  <c r="AG836" i="3" a="1"/>
  <c r="AR255" i="5"/>
  <c r="AD12" i="6" a="1"/>
  <c r="O12" i="6" a="1"/>
  <c r="N12" i="6" a="1"/>
  <c r="AE12" i="6" a="1"/>
  <c r="AR302" i="5"/>
  <c r="AA296" i="5"/>
  <c r="AI296" i="5"/>
  <c r="AQ296" i="5"/>
  <c r="AW310" i="5"/>
  <c r="AW308" i="5"/>
  <c r="BE310" i="5"/>
  <c r="BE308" i="5"/>
  <c r="BM310" i="5"/>
  <c r="BU310" i="5"/>
  <c r="AR345" i="5"/>
  <c r="AC340" i="5"/>
  <c r="AK340" i="5"/>
  <c r="AI35" i="5"/>
  <c r="N125" i="6" a="1"/>
  <c r="O125" i="6" a="1"/>
  <c r="AD125" i="6" a="1"/>
  <c r="P364" i="3" a="1"/>
  <c r="AE125" i="6" a="1"/>
  <c r="AJ364" i="3" a="1"/>
  <c r="Q364" i="3" a="1"/>
  <c r="AK364" i="3" a="1"/>
  <c r="BG105" i="5"/>
  <c r="BO105" i="5"/>
  <c r="Q730" i="3" a="1"/>
  <c r="AK730" i="3" a="1"/>
  <c r="P730" i="3" a="1"/>
  <c r="AJ730" i="3" a="1"/>
  <c r="P836" i="3" a="1"/>
  <c r="AJ836" i="3" a="1"/>
  <c r="Q836" i="3" a="1"/>
  <c r="AK836" i="3" a="1"/>
  <c r="J10" i="6" a="1"/>
  <c r="X9" i="6" a="1"/>
  <c r="H9" i="6" a="1"/>
  <c r="V9" i="6" a="1"/>
  <c r="K10" i="6" a="1"/>
  <c r="Z10" i="6" a="1"/>
  <c r="Z9" i="6" a="1"/>
  <c r="I9" i="6" a="1"/>
  <c r="Y9" i="6" a="1"/>
  <c r="K9" i="6" a="1"/>
  <c r="F9" i="6" a="1"/>
  <c r="AA10" i="6" a="1"/>
  <c r="AA9" i="6" a="1"/>
  <c r="AR274" i="5"/>
  <c r="J9" i="6" a="1"/>
  <c r="AO268" i="5"/>
  <c r="AN268" i="5" s="1"/>
  <c r="AM268" i="5" s="1"/>
  <c r="AC268" i="5" s="1"/>
  <c r="AB268" i="5" s="1"/>
  <c r="AA268" i="5" s="1"/>
  <c r="BV199" i="5" s="1"/>
  <c r="AR299" i="5"/>
  <c r="AB296" i="5"/>
  <c r="AJ296" i="5"/>
  <c r="V128" i="6" a="1"/>
  <c r="H128" i="6" a="1"/>
  <c r="J129" i="6" a="1"/>
  <c r="F128" i="6" a="1"/>
  <c r="AA128" i="6" a="1"/>
  <c r="X128" i="6" a="1"/>
  <c r="K128" i="6" a="1"/>
  <c r="K129" i="6" a="1"/>
  <c r="J128" i="6" a="1"/>
  <c r="Y128" i="6" a="1"/>
  <c r="AR309" i="5"/>
  <c r="Z128" i="6" a="1"/>
  <c r="AA129" i="6" a="1"/>
  <c r="AR296" i="5"/>
  <c r="AR310" i="5" s="1"/>
  <c r="Z129" i="6" a="1"/>
  <c r="I128" i="6" a="1"/>
  <c r="AV348" i="5"/>
  <c r="BL348" i="5"/>
  <c r="BT348" i="5"/>
  <c r="R466" i="3" a="1"/>
  <c r="AM466" i="3" a="1"/>
  <c r="S466" i="3" a="1"/>
  <c r="AL466" i="3" a="1"/>
  <c r="AZ153" i="5"/>
  <c r="BH153" i="5"/>
  <c r="BP153" i="5"/>
  <c r="AZ159" i="5"/>
  <c r="BP159" i="5"/>
  <c r="AX164" i="5"/>
  <c r="BF164" i="5"/>
  <c r="BN164" i="5"/>
  <c r="BV164" i="5"/>
  <c r="AV169" i="5"/>
  <c r="BD169" i="5"/>
  <c r="BL169" i="5"/>
  <c r="BT169" i="5"/>
  <c r="AT174" i="5"/>
  <c r="BB174" i="5"/>
  <c r="BA174" i="5" s="1"/>
  <c r="BJ174" i="5"/>
  <c r="BR174" i="5"/>
  <c r="AP203" i="5"/>
  <c r="AQ189" i="5" s="1"/>
  <c r="AL488" i="3" a="1"/>
  <c r="R488" i="3" a="1"/>
  <c r="AM488" i="3" a="1"/>
  <c r="S488" i="3" a="1"/>
  <c r="AV199" i="5"/>
  <c r="BD199" i="5"/>
  <c r="BL199" i="5"/>
  <c r="BT199" i="5"/>
  <c r="K276" i="6" a="1"/>
  <c r="J276" i="6" a="1"/>
  <c r="AB624" i="3" a="1"/>
  <c r="Y276" i="6" a="1"/>
  <c r="H276" i="6" a="1"/>
  <c r="I624" i="3" a="1"/>
  <c r="F624" i="3" a="1"/>
  <c r="I276" i="6" a="1"/>
  <c r="L624" i="3" a="1"/>
  <c r="AA276" i="6" a="1"/>
  <c r="AD624" i="3" a="1"/>
  <c r="Z276" i="6" a="1"/>
  <c r="M624" i="3" a="1"/>
  <c r="J624" i="3" a="1"/>
  <c r="K624" i="3" a="1"/>
  <c r="AG624" i="3" a="1"/>
  <c r="AF624" i="3" a="1"/>
  <c r="X276" i="6" a="1"/>
  <c r="AR218" i="5"/>
  <c r="V276" i="6" a="1"/>
  <c r="AE624" i="3" a="1"/>
  <c r="Z624" i="3" a="1"/>
  <c r="H624" i="3" a="1"/>
  <c r="AC624" i="3" a="1"/>
  <c r="F276" i="6" a="1"/>
  <c r="F626" i="3" a="1"/>
  <c r="AG626" i="3" a="1"/>
  <c r="J278" i="6" a="1"/>
  <c r="AB626" i="3" a="1"/>
  <c r="H626" i="3" a="1"/>
  <c r="K278" i="6" a="1"/>
  <c r="H278" i="6" a="1"/>
  <c r="K626" i="3" a="1"/>
  <c r="Y278" i="6" a="1"/>
  <c r="AE626" i="3" a="1"/>
  <c r="AA278" i="6" a="1"/>
  <c r="AR220" i="5"/>
  <c r="L626" i="3" a="1"/>
  <c r="J626" i="3" a="1"/>
  <c r="I626" i="3" a="1"/>
  <c r="V278" i="6" a="1"/>
  <c r="Z278" i="6" a="1"/>
  <c r="AD626" i="3" a="1"/>
  <c r="Z626" i="3" a="1"/>
  <c r="M626" i="3" a="1"/>
  <c r="X278" i="6" a="1"/>
  <c r="I278" i="6" a="1"/>
  <c r="AC626" i="3" a="1"/>
  <c r="F278" i="6" a="1"/>
  <c r="AF626" i="3" a="1"/>
  <c r="L214" i="5"/>
  <c r="AB214" i="5"/>
  <c r="AJ214" i="5"/>
  <c r="AR223" i="5"/>
  <c r="AR214" i="5"/>
  <c r="AM625" i="3" a="1"/>
  <c r="S625" i="3" a="1"/>
  <c r="R625" i="3" a="1"/>
  <c r="AL625" i="3" a="1"/>
  <c r="AV222" i="5"/>
  <c r="BD222" i="5"/>
  <c r="BL222" i="5"/>
  <c r="AN229" i="5"/>
  <c r="L730" i="3" a="1"/>
  <c r="AD730" i="3" a="1"/>
  <c r="AR238" i="5"/>
  <c r="J730" i="3" a="1"/>
  <c r="AF730" i="3" a="1"/>
  <c r="Z730" i="3" a="1"/>
  <c r="AB730" i="3" a="1"/>
  <c r="M730" i="3" a="1"/>
  <c r="AE730" i="3" a="1"/>
  <c r="AG730" i="3" a="1"/>
  <c r="H730" i="3" a="1"/>
  <c r="AC730" i="3" a="1"/>
  <c r="K730" i="3" a="1"/>
  <c r="I730" i="3" a="1"/>
  <c r="F730" i="3" a="1"/>
  <c r="AG732" i="3" a="1"/>
  <c r="AF732" i="3" a="1"/>
  <c r="H732" i="3" a="1"/>
  <c r="AR240" i="5"/>
  <c r="I732" i="3" a="1"/>
  <c r="M732" i="3" a="1"/>
  <c r="AE732" i="3" a="1"/>
  <c r="K732" i="3" a="1"/>
  <c r="AB732" i="3" a="1"/>
  <c r="L732" i="3" a="1"/>
  <c r="AD732" i="3" a="1"/>
  <c r="Z732" i="3" a="1"/>
  <c r="AC732" i="3" a="1"/>
  <c r="J732" i="3" a="1"/>
  <c r="F732" i="3" a="1"/>
  <c r="R730" i="3" a="1"/>
  <c r="AL730" i="3" a="1"/>
  <c r="S730" i="3" a="1"/>
  <c r="AM730" i="3" a="1"/>
  <c r="R836" i="3" a="1"/>
  <c r="AM836" i="3" a="1"/>
  <c r="AL836" i="3" a="1"/>
  <c r="S836" i="3" a="1"/>
  <c r="AE11" i="6" a="1"/>
  <c r="AD11" i="6" a="1"/>
  <c r="N11" i="6" a="1"/>
  <c r="O11" i="6" a="1"/>
  <c r="AI290" i="5"/>
  <c r="AG290" i="5" s="1"/>
  <c r="AE290" i="5" s="1"/>
  <c r="AA290" i="5" s="1"/>
  <c r="AA294" i="5" s="1"/>
  <c r="AR305" i="5"/>
  <c r="AR290" i="5"/>
  <c r="AR294" i="5" s="1"/>
  <c r="AC296" i="5"/>
  <c r="AK296" i="5"/>
  <c r="BH304" i="5"/>
  <c r="BG304" i="5" s="1"/>
  <c r="BG308" i="5" s="1"/>
  <c r="BP304" i="5"/>
  <c r="BO304" i="5" s="1"/>
  <c r="BN304" i="5" s="1"/>
  <c r="AX310" i="5"/>
  <c r="BF310" i="5"/>
  <c r="BV310" i="5"/>
  <c r="AK290" i="5" s="1"/>
  <c r="AK294" i="5" s="1"/>
  <c r="AR331" i="5"/>
  <c r="AR347" i="5"/>
  <c r="AE340" i="5"/>
  <c r="AM340" i="5"/>
  <c r="AX348" i="5"/>
  <c r="BN348" i="5"/>
  <c r="BV348" i="5"/>
  <c r="AS153" i="5"/>
  <c r="BA153" i="5"/>
  <c r="BI153" i="5"/>
  <c r="BQ153" i="5"/>
  <c r="AY164" i="5"/>
  <c r="BO164" i="5"/>
  <c r="AW169" i="5"/>
  <c r="BE169" i="5"/>
  <c r="BA169" i="5" s="1"/>
  <c r="BM169" i="5"/>
  <c r="BU169" i="5"/>
  <c r="BC174" i="5"/>
  <c r="BS174" i="5"/>
  <c r="AW199" i="5"/>
  <c r="BE199" i="5"/>
  <c r="BM199" i="5"/>
  <c r="BU199" i="5"/>
  <c r="U214" i="5"/>
  <c r="AC214" i="5"/>
  <c r="AK214" i="5"/>
  <c r="AD276" i="6" a="1"/>
  <c r="AK624" i="3" a="1"/>
  <c r="P624" i="3" a="1"/>
  <c r="Q624" i="3" a="1"/>
  <c r="AE276" i="6" a="1"/>
  <c r="AJ624" i="3" a="1"/>
  <c r="N276" i="6" a="1"/>
  <c r="O276" i="6" a="1"/>
  <c r="BE222" i="5"/>
  <c r="BM222" i="5"/>
  <c r="Q729" i="3" a="1"/>
  <c r="AK729" i="3" a="1"/>
  <c r="AD123" i="6" a="1"/>
  <c r="O123" i="6" a="1"/>
  <c r="AE123" i="6" a="1"/>
  <c r="N123" i="6" a="1"/>
  <c r="P729" i="3" a="1"/>
  <c r="AJ729" i="3" a="1"/>
  <c r="Q835" i="3" a="1"/>
  <c r="AK835" i="3" a="1"/>
  <c r="P835" i="3" a="1"/>
  <c r="AJ835" i="3" a="1"/>
  <c r="AR277" i="5"/>
  <c r="AR301" i="5"/>
  <c r="AC290" i="5"/>
  <c r="AC294" i="5" s="1"/>
  <c r="AD296" i="5"/>
  <c r="AL296" i="5"/>
  <c r="BI304" i="5"/>
  <c r="BI308" i="5" s="1"/>
  <c r="BQ304" i="5"/>
  <c r="BQ308" i="5" s="1"/>
  <c r="AY310" i="5"/>
  <c r="BG310" i="5"/>
  <c r="BO310" i="5"/>
  <c r="AR344" i="5"/>
  <c r="X340" i="5"/>
  <c r="AF340" i="5"/>
  <c r="AN340" i="5"/>
  <c r="AY348" i="5"/>
  <c r="BG348" i="5"/>
  <c r="BO348" i="5"/>
  <c r="BB153" i="5"/>
  <c r="BJ153" i="5"/>
  <c r="BR153" i="5"/>
  <c r="BB159" i="5"/>
  <c r="BJ159" i="5"/>
  <c r="BI159" i="5" s="1"/>
  <c r="BH159" i="5" s="1"/>
  <c r="BG159" i="5" s="1"/>
  <c r="BF159" i="5" s="1"/>
  <c r="BE159" i="5" s="1"/>
  <c r="BA159" i="5" s="1"/>
  <c r="AX159" i="5" s="1"/>
  <c r="AW159" i="5" s="1"/>
  <c r="AZ164" i="5"/>
  <c r="BH164" i="5"/>
  <c r="AX169" i="5"/>
  <c r="BF169" i="5"/>
  <c r="BN169" i="5"/>
  <c r="BV169" i="5"/>
  <c r="AV174" i="5"/>
  <c r="BL174" i="5"/>
  <c r="BK174" i="5" s="1"/>
  <c r="BG174" i="5" s="1"/>
  <c r="BF174" i="5" s="1"/>
  <c r="BD174" i="5" s="1"/>
  <c r="AU174" i="5" s="1"/>
  <c r="BO169" i="5" s="1"/>
  <c r="AY169" i="5" s="1"/>
  <c r="BU164" i="5" s="1"/>
  <c r="BG164" i="5" s="1"/>
  <c r="BE164" i="5" s="1"/>
  <c r="AS164" i="5" s="1"/>
  <c r="BM159" i="5" s="1"/>
  <c r="BK159" i="5" s="1"/>
  <c r="AY159" i="5" s="1"/>
  <c r="AT159" i="5" s="1"/>
  <c r="AS159" i="5" s="1"/>
  <c r="BT174" i="5"/>
  <c r="AF488" i="3" a="1"/>
  <c r="AR196" i="5"/>
  <c r="L488" i="3" a="1"/>
  <c r="I488" i="3" a="1"/>
  <c r="AC488" i="3" a="1"/>
  <c r="H488" i="3" a="1"/>
  <c r="AD488" i="3" a="1"/>
  <c r="Z488" i="3" a="1"/>
  <c r="F488" i="3" a="1"/>
  <c r="AE488" i="3" a="1"/>
  <c r="K488" i="3" a="1"/>
  <c r="AB488" i="3" a="1"/>
  <c r="AG488" i="3" a="1"/>
  <c r="J488" i="3" a="1"/>
  <c r="M488" i="3" a="1"/>
  <c r="J487" i="3" a="1"/>
  <c r="I487" i="3" a="1"/>
  <c r="F487" i="3" a="1"/>
  <c r="H487" i="3" a="1"/>
  <c r="K487" i="3" a="1"/>
  <c r="M487" i="3" a="1"/>
  <c r="AR198" i="5"/>
  <c r="AF487" i="3" a="1"/>
  <c r="AC487" i="3" a="1"/>
  <c r="AD487" i="3" a="1"/>
  <c r="Z487" i="3" a="1"/>
  <c r="AB487" i="3" a="1"/>
  <c r="L487" i="3" a="1"/>
  <c r="AE487" i="3" a="1"/>
  <c r="AG487" i="3" a="1"/>
  <c r="P189" i="5"/>
  <c r="AF189" i="5"/>
  <c r="AN189" i="5"/>
  <c r="AR201" i="5"/>
  <c r="AR203" i="5"/>
  <c r="AX199" i="5"/>
  <c r="BF199" i="5"/>
  <c r="BN199" i="5"/>
  <c r="N214" i="5"/>
  <c r="V214" i="5"/>
  <c r="AD214" i="5"/>
  <c r="AL214" i="5"/>
  <c r="R624" i="3" a="1"/>
  <c r="AL624" i="3" a="1"/>
  <c r="S624" i="3" a="1"/>
  <c r="AM624" i="3" a="1"/>
  <c r="AX222" i="5"/>
  <c r="BN222" i="5"/>
  <c r="BV222" i="5"/>
  <c r="AP229" i="5"/>
  <c r="AL729" i="3" a="1"/>
  <c r="AM729" i="3" a="1"/>
  <c r="R729" i="3" a="1"/>
  <c r="S729" i="3" a="1"/>
  <c r="BR222" i="5"/>
  <c r="K835" i="3" a="1"/>
  <c r="Z835" i="3" a="1"/>
  <c r="AG835" i="3" a="1"/>
  <c r="F835" i="3" a="1"/>
  <c r="AD835" i="3" a="1"/>
  <c r="M835" i="3" a="1"/>
  <c r="H835" i="3" a="1"/>
  <c r="AF835" i="3" a="1"/>
  <c r="AC835" i="3" a="1"/>
  <c r="J835" i="3" a="1"/>
  <c r="L835" i="3" a="1"/>
  <c r="I835" i="3" a="1"/>
  <c r="AE835" i="3" a="1"/>
  <c r="AR254" i="5"/>
  <c r="AB835" i="3" a="1"/>
  <c r="S835" i="3" a="1"/>
  <c r="AM835" i="3" a="1"/>
  <c r="R835" i="3" a="1"/>
  <c r="AL835" i="3" a="1"/>
  <c r="AG268" i="5"/>
  <c r="Y13" i="6" a="1"/>
  <c r="J13" i="6" a="1"/>
  <c r="K13" i="6" a="1"/>
  <c r="X13" i="6" a="1"/>
  <c r="H13" i="6" a="1"/>
  <c r="F13" i="6" a="1"/>
  <c r="AR273" i="5"/>
  <c r="AA13" i="6" a="1"/>
  <c r="Z13" i="6" a="1"/>
  <c r="I13" i="6" a="1"/>
  <c r="V13" i="6" a="1"/>
  <c r="O129" i="6" a="1"/>
  <c r="AD9" i="6" a="1"/>
  <c r="O10" i="6" a="1"/>
  <c r="AE128" i="6" a="1"/>
  <c r="AE10" i="6" a="1"/>
  <c r="N10" i="6" a="1"/>
  <c r="O9" i="6" a="1"/>
  <c r="AE9" i="6" a="1"/>
  <c r="AD128" i="6" a="1"/>
  <c r="N129" i="6" a="1"/>
  <c r="N9" i="6" a="1"/>
  <c r="AE129" i="6" a="1"/>
  <c r="O128" i="6" a="1"/>
  <c r="AD10" i="6" a="1"/>
  <c r="AD129" i="6" a="1"/>
  <c r="N128" i="6" a="1"/>
  <c r="AR298" i="5"/>
  <c r="AD290" i="5"/>
  <c r="AD294" i="5" s="1"/>
  <c r="AL290" i="5"/>
  <c r="AL294" i="5" s="1"/>
  <c r="AR307" i="5"/>
  <c r="AE296" i="5"/>
  <c r="AM296" i="5"/>
  <c r="AT304" i="5"/>
  <c r="AS304" i="5" s="1"/>
  <c r="AS308" i="5" s="1"/>
  <c r="BB304" i="5"/>
  <c r="BA304" i="5" s="1"/>
  <c r="AZ304" i="5" s="1"/>
  <c r="AZ308" i="5" s="1"/>
  <c r="BJ304" i="5"/>
  <c r="BJ308" i="5" s="1"/>
  <c r="AZ310" i="5"/>
  <c r="BH310" i="5"/>
  <c r="BP310" i="5"/>
  <c r="Y340" i="5"/>
  <c r="AG340" i="5"/>
  <c r="AO340" i="5"/>
  <c r="AZ348" i="5"/>
  <c r="BH348" i="5"/>
  <c r="BK153" i="5"/>
  <c r="BS153" i="5"/>
  <c r="AU159" i="5"/>
  <c r="BC159" i="5"/>
  <c r="BS159" i="5"/>
  <c r="BR159" i="5" s="1"/>
  <c r="BQ159" i="5" s="1"/>
  <c r="BA164" i="5"/>
  <c r="BI164" i="5"/>
  <c r="BQ164" i="5"/>
  <c r="BG169" i="5"/>
  <c r="AW174" i="5"/>
  <c r="BE174" i="5"/>
  <c r="BM174" i="5"/>
  <c r="BU174" i="5"/>
  <c r="I189" i="5"/>
  <c r="Q189" i="5"/>
  <c r="Y189" i="5"/>
  <c r="AG189" i="5"/>
  <c r="AO189" i="5"/>
  <c r="Q487" i="3" a="1"/>
  <c r="P487" i="3" a="1"/>
  <c r="AJ487" i="3" a="1"/>
  <c r="AK487" i="3" a="1"/>
  <c r="AY199" i="5"/>
  <c r="BG199" i="5"/>
  <c r="BO199" i="5"/>
  <c r="O214" i="5"/>
  <c r="W214" i="5"/>
  <c r="AE214" i="5"/>
  <c r="AM214" i="5"/>
  <c r="P627" i="3" a="1"/>
  <c r="AK627" i="3" a="1"/>
  <c r="Q627" i="3" a="1"/>
  <c r="AD279" i="6" a="1"/>
  <c r="AE279" i="6" a="1"/>
  <c r="AJ627" i="3" a="1"/>
  <c r="O279" i="6" a="1"/>
  <c r="N279" i="6" a="1"/>
  <c r="AY222" i="5"/>
  <c r="BG222" i="5"/>
  <c r="BO222" i="5"/>
  <c r="AJ732" i="3" a="1"/>
  <c r="AK732" i="3" a="1"/>
  <c r="Q732" i="3" a="1"/>
  <c r="P732" i="3" a="1"/>
  <c r="P834" i="3" a="1"/>
  <c r="AJ834" i="3" a="1"/>
  <c r="Q834" i="3" a="1"/>
  <c r="AK834" i="3" a="1"/>
  <c r="AR303" i="5"/>
  <c r="X296" i="5"/>
  <c r="AF296" i="5"/>
  <c r="AN296" i="5"/>
  <c r="AU304" i="5"/>
  <c r="AU308" i="5" s="1"/>
  <c r="BC304" i="5"/>
  <c r="BC308" i="5" s="1"/>
  <c r="BK304" i="5"/>
  <c r="BK308" i="5" s="1"/>
  <c r="BS304" i="5"/>
  <c r="BS308" i="5" s="1"/>
  <c r="AS310" i="5"/>
  <c r="BA310" i="5"/>
  <c r="BI310" i="5"/>
  <c r="BQ310" i="5"/>
  <c r="Z359" i="6" a="1"/>
  <c r="AA359" i="6" a="1"/>
  <c r="Y359" i="6" a="1"/>
  <c r="I359" i="6" a="1"/>
  <c r="V359" i="6" a="1"/>
  <c r="H359" i="6" a="1"/>
  <c r="X359" i="6" a="1"/>
  <c r="K359" i="6" a="1"/>
  <c r="F359" i="6" a="1"/>
  <c r="AR328" i="5"/>
  <c r="J359" i="6" a="1"/>
  <c r="N362" i="6" a="1"/>
  <c r="AD362" i="6" a="1"/>
  <c r="O362" i="6" a="1"/>
  <c r="AE362" i="6" a="1"/>
  <c r="AR346" i="5"/>
  <c r="AH340" i="5"/>
  <c r="AP340" i="5"/>
  <c r="AS348" i="5"/>
  <c r="BA348" i="5"/>
  <c r="BI348" i="5"/>
  <c r="BQ348" i="5"/>
  <c r="BD153" i="5"/>
  <c r="BL153" i="5"/>
  <c r="BT153" i="5"/>
  <c r="S487" i="3" a="1"/>
  <c r="R487" i="3" a="1"/>
  <c r="AL487" i="3" a="1"/>
  <c r="AM487" i="3" a="1"/>
  <c r="AC625" i="3" a="1"/>
  <c r="AG625" i="3" a="1"/>
  <c r="F625" i="3" a="1"/>
  <c r="K277" i="6" a="1"/>
  <c r="Y277" i="6" a="1"/>
  <c r="I625" i="3" a="1"/>
  <c r="H277" i="6" a="1"/>
  <c r="K625" i="3" a="1"/>
  <c r="AR219" i="5"/>
  <c r="M625" i="3" a="1"/>
  <c r="J277" i="6" a="1"/>
  <c r="J625" i="3" a="1"/>
  <c r="Z625" i="3" a="1"/>
  <c r="AB625" i="3" a="1"/>
  <c r="V277" i="6" a="1"/>
  <c r="F277" i="6" a="1"/>
  <c r="AD625" i="3" a="1"/>
  <c r="AA277" i="6" a="1"/>
  <c r="Z277" i="6" a="1"/>
  <c r="I277" i="6" a="1"/>
  <c r="H625" i="3" a="1"/>
  <c r="AF625" i="3" a="1"/>
  <c r="AE625" i="3" a="1"/>
  <c r="L625" i="3" a="1"/>
  <c r="X277" i="6" a="1"/>
  <c r="Z279" i="6" a="1"/>
  <c r="AC627" i="3" a="1"/>
  <c r="AB627" i="3" a="1"/>
  <c r="AD627" i="3" a="1"/>
  <c r="AF627" i="3" a="1"/>
  <c r="Y279" i="6" a="1"/>
  <c r="AA279" i="6" a="1"/>
  <c r="J627" i="3" a="1"/>
  <c r="M627" i="3" a="1"/>
  <c r="AR221" i="5"/>
  <c r="I279" i="6" a="1"/>
  <c r="I627" i="3" a="1"/>
  <c r="K279" i="6" a="1"/>
  <c r="F627" i="3" a="1"/>
  <c r="K627" i="3" a="1"/>
  <c r="V279" i="6" a="1"/>
  <c r="X279" i="6" a="1"/>
  <c r="H627" i="3" a="1"/>
  <c r="J279" i="6" a="1"/>
  <c r="L627" i="3" a="1"/>
  <c r="H279" i="6" a="1"/>
  <c r="AG627" i="3" a="1"/>
  <c r="AE627" i="3" a="1"/>
  <c r="F279" i="6" a="1"/>
  <c r="Z627" i="3" a="1"/>
  <c r="P214" i="5"/>
  <c r="X214" i="5"/>
  <c r="AF214" i="5"/>
  <c r="AN214" i="5"/>
  <c r="S627" i="3" a="1"/>
  <c r="AL627" i="3" a="1"/>
  <c r="AM627" i="3" a="1"/>
  <c r="R627" i="3" a="1"/>
  <c r="AZ222" i="5"/>
  <c r="BH222" i="5"/>
  <c r="BP222" i="5"/>
  <c r="F123" i="6" a="1"/>
  <c r="Z123" i="6" a="1"/>
  <c r="M729" i="3" a="1"/>
  <c r="AC729" i="3" a="1"/>
  <c r="Y123" i="6" a="1"/>
  <c r="AR229" i="5"/>
  <c r="J123" i="6" a="1"/>
  <c r="AE729" i="3" a="1"/>
  <c r="X123" i="6" a="1"/>
  <c r="J729" i="3" a="1"/>
  <c r="I123" i="6" a="1"/>
  <c r="Z729" i="3" a="1"/>
  <c r="AA123" i="6" a="1"/>
  <c r="F729" i="3" a="1"/>
  <c r="I729" i="3" a="1"/>
  <c r="AB729" i="3" a="1"/>
  <c r="H729" i="3" a="1"/>
  <c r="L729" i="3" a="1"/>
  <c r="K729" i="3" a="1"/>
  <c r="AD729" i="3" a="1"/>
  <c r="AF729" i="3" a="1"/>
  <c r="AG729" i="3" a="1"/>
  <c r="AR237" i="5"/>
  <c r="K123" i="6" a="1"/>
  <c r="H123" i="6" a="1"/>
  <c r="V123" i="6" a="1"/>
  <c r="K731" i="3" a="1"/>
  <c r="AG731" i="3" a="1"/>
  <c r="AC731" i="3" a="1"/>
  <c r="AB731" i="3" a="1"/>
  <c r="AD731" i="3" a="1"/>
  <c r="J731" i="3" a="1"/>
  <c r="AF731" i="3" a="1"/>
  <c r="AR239" i="5"/>
  <c r="AE731" i="3" a="1"/>
  <c r="M731" i="3" a="1"/>
  <c r="H731" i="3" a="1"/>
  <c r="F731" i="3" a="1"/>
  <c r="I731" i="3" a="1"/>
  <c r="Z731" i="3" a="1"/>
  <c r="L731" i="3" a="1"/>
  <c r="AR241" i="5"/>
  <c r="S732" i="3" a="1"/>
  <c r="R732" i="3" a="1"/>
  <c r="AL732" i="3" a="1"/>
  <c r="AM732" i="3" a="1"/>
  <c r="S834" i="3" a="1"/>
  <c r="R834" i="3" a="1"/>
  <c r="AL834" i="3" a="1"/>
  <c r="AM834" i="3" a="1"/>
  <c r="J11" i="6" a="1"/>
  <c r="V11" i="6" a="1"/>
  <c r="K11" i="6" a="1"/>
  <c r="X11" i="6" a="1"/>
  <c r="Y11" i="6" a="1"/>
  <c r="AR275" i="5"/>
  <c r="I11" i="6" a="1"/>
  <c r="F11" i="6" a="1"/>
  <c r="AA11" i="6" a="1"/>
  <c r="Z11" i="6" a="1"/>
  <c r="H11" i="6" a="1"/>
  <c r="O13" i="6" a="1"/>
  <c r="AE13" i="6" a="1"/>
  <c r="AD13" i="6" a="1"/>
  <c r="N13" i="6" a="1"/>
  <c r="AQ268" i="5"/>
  <c r="AL268" i="5" s="1"/>
  <c r="AI268" i="5" s="1"/>
  <c r="AH268" i="5" s="1"/>
  <c r="AD268" i="5" s="1"/>
  <c r="Z268" i="5" s="1"/>
  <c r="Y268" i="5" s="1"/>
  <c r="X268" i="5" s="1"/>
  <c r="AO229" i="5"/>
  <c r="BU222" i="5" s="1"/>
  <c r="AR300" i="5"/>
  <c r="X290" i="5"/>
  <c r="AD126" i="6" s="1" a="1"/>
  <c r="AF290" i="5"/>
  <c r="AF294" i="5" s="1"/>
  <c r="AN290" i="5"/>
  <c r="AN294" i="5" s="1"/>
  <c r="Y296" i="5"/>
  <c r="AG296" i="5"/>
  <c r="AO296" i="5"/>
  <c r="BT304" i="5"/>
  <c r="BT308" i="5" s="1"/>
  <c r="AT310" i="5"/>
  <c r="BB310" i="5"/>
  <c r="BJ310" i="5"/>
  <c r="BR310" i="5"/>
  <c r="BU304" i="5"/>
  <c r="BU308" i="5" s="1"/>
  <c r="AA340" i="5"/>
  <c r="AI340" i="5"/>
  <c r="AQ340" i="5"/>
  <c r="AT348" i="5"/>
  <c r="BJ348" i="5"/>
  <c r="BR348" i="5"/>
  <c r="BE153" i="5"/>
  <c r="BM153" i="5"/>
  <c r="BU153" i="5"/>
  <c r="BV159" i="5"/>
  <c r="BC164" i="5"/>
  <c r="BK164" i="5"/>
  <c r="BI169" i="5"/>
  <c r="BQ169" i="5"/>
  <c r="AY174" i="5"/>
  <c r="BO174" i="5"/>
  <c r="K189" i="5"/>
  <c r="S189" i="5"/>
  <c r="AA189" i="5"/>
  <c r="AI189" i="5"/>
  <c r="AJ489" i="3" a="1"/>
  <c r="P489" i="3" a="1"/>
  <c r="Q489" i="3" a="1"/>
  <c r="AK489" i="3" a="1"/>
  <c r="AS199" i="5"/>
  <c r="BA199" i="5"/>
  <c r="BI199" i="5"/>
  <c r="BQ199" i="5"/>
  <c r="I214" i="5"/>
  <c r="Q214" i="5"/>
  <c r="Y214" i="5"/>
  <c r="AG214" i="5"/>
  <c r="P626" i="3" a="1"/>
  <c r="AJ626" i="3" a="1"/>
  <c r="AK626" i="3" a="1"/>
  <c r="N278" i="6" a="1"/>
  <c r="AE278" i="6" a="1"/>
  <c r="AD278" i="6" a="1"/>
  <c r="Q626" i="3" a="1"/>
  <c r="O278" i="6" a="1"/>
  <c r="AS222" i="5"/>
  <c r="BA222" i="5"/>
  <c r="BI222" i="5"/>
  <c r="BQ222" i="5"/>
  <c r="AJ731" i="3" a="1"/>
  <c r="AK731" i="3" a="1"/>
  <c r="Q731" i="3" a="1"/>
  <c r="P731" i="3" a="1"/>
  <c r="AA12" i="6" a="1"/>
  <c r="F12" i="6" a="1"/>
  <c r="Z362" i="6" a="1"/>
  <c r="AR268" i="5"/>
  <c r="X362" i="6" a="1"/>
  <c r="I362" i="6" a="1"/>
  <c r="AA362" i="6" a="1"/>
  <c r="H362" i="6" a="1"/>
  <c r="J12" i="6" a="1"/>
  <c r="I12" i="6" a="1"/>
  <c r="Y362" i="6" a="1"/>
  <c r="K362" i="6" a="1"/>
  <c r="V362" i="6" a="1"/>
  <c r="Z12" i="6" a="1"/>
  <c r="V12" i="6" a="1"/>
  <c r="F362" i="6" a="1"/>
  <c r="X12" i="6" a="1"/>
  <c r="AR272" i="5"/>
  <c r="K12" i="6" a="1"/>
  <c r="Y12" i="6" a="1"/>
  <c r="J362" i="6" a="1"/>
  <c r="H12" i="6" a="1"/>
  <c r="AP268" i="5"/>
  <c r="AF268" i="5" s="1"/>
  <c r="AE268" i="5" s="1"/>
  <c r="AQ229" i="5" s="1"/>
  <c r="BJ222" i="5" s="1"/>
  <c r="Y290" i="5"/>
  <c r="Y294" i="5" s="1"/>
  <c r="AO290" i="5"/>
  <c r="AO294" i="5" s="1"/>
  <c r="AR306" i="5"/>
  <c r="Z296" i="5"/>
  <c r="AH296" i="5"/>
  <c r="AH294" i="5"/>
  <c r="AP294" i="5"/>
  <c r="AP296" i="5"/>
  <c r="AP310" i="5" s="1"/>
  <c r="BM304" i="5"/>
  <c r="BM308" i="5" s="1"/>
  <c r="AU310" i="5"/>
  <c r="BC310" i="5"/>
  <c r="BK310" i="5"/>
  <c r="BS310" i="5"/>
  <c r="N359" i="6" a="1"/>
  <c r="O359" i="6" a="1"/>
  <c r="AD359" i="6" a="1"/>
  <c r="AE359" i="6" a="1"/>
  <c r="AB340" i="5"/>
  <c r="AJ340" i="5"/>
  <c r="AR340" i="5"/>
  <c r="AR349" i="5"/>
  <c r="AU348" i="5"/>
  <c r="BK348" i="5"/>
  <c r="BS348" i="5"/>
  <c r="BR82" i="5" l="1"/>
  <c r="BK82" i="5"/>
  <c r="AX82" i="5"/>
  <c r="AV82" i="5"/>
  <c r="AW82" i="5"/>
  <c r="BL82" i="5"/>
  <c r="S471" i="3" a="1"/>
  <c r="BT82" i="5"/>
  <c r="AM471" i="3" a="1"/>
  <c r="BB82" i="5"/>
  <c r="AL471" i="3" a="1"/>
  <c r="R471" i="3" a="1"/>
  <c r="U66" i="5"/>
  <c r="AD66" i="5"/>
  <c r="W66" i="5"/>
  <c r="M66" i="5"/>
  <c r="V66" i="5"/>
  <c r="AM469" i="3" a="1"/>
  <c r="AI66" i="5"/>
  <c r="AP66" i="5"/>
  <c r="AP69" i="5" s="1"/>
  <c r="BP82" i="5"/>
  <c r="AQ66" i="5"/>
  <c r="AQ69" i="5" s="1"/>
  <c r="AJ469" i="3" a="1"/>
  <c r="Q469" i="3" a="1"/>
  <c r="AG294" i="5"/>
  <c r="AK251" i="3" a="1"/>
  <c r="S66" i="5"/>
  <c r="AA66" i="5"/>
  <c r="AJ467" i="3" a="1"/>
  <c r="R66" i="5"/>
  <c r="BG82" i="5"/>
  <c r="Q251" i="3" a="1"/>
  <c r="BJ82" i="5"/>
  <c r="S251" i="3" a="1"/>
  <c r="AK469" i="3" a="1"/>
  <c r="AL251" i="3" a="1"/>
  <c r="AM251" i="3" a="1"/>
  <c r="R251" i="3" a="1"/>
  <c r="I66" i="5"/>
  <c r="AZ82" i="5"/>
  <c r="AU82" i="5"/>
  <c r="BV82" i="5"/>
  <c r="P66" i="5"/>
  <c r="AK467" i="3" a="1"/>
  <c r="Q467" i="3" a="1"/>
  <c r="O66" i="5"/>
  <c r="BH308" i="5"/>
  <c r="AM66" i="5"/>
  <c r="AO66" i="5"/>
  <c r="AO69" i="5" s="1"/>
  <c r="AJ251" i="3" a="1"/>
  <c r="Q66" i="5"/>
  <c r="BM82" i="5"/>
  <c r="BH82" i="5"/>
  <c r="AW179" i="5"/>
  <c r="BD179" i="5"/>
  <c r="AH66" i="5"/>
  <c r="AG66" i="5"/>
  <c r="BC82" i="5"/>
  <c r="BN82" i="5"/>
  <c r="BO82" i="5"/>
  <c r="AV179" i="5"/>
  <c r="AY82" i="5"/>
  <c r="BI179" i="5"/>
  <c r="BL179" i="5"/>
  <c r="R469" i="3" a="1"/>
  <c r="S469" i="3" a="1"/>
  <c r="N148" i="5"/>
  <c r="K66" i="5"/>
  <c r="BU179" i="5"/>
  <c r="BA308" i="5"/>
  <c r="AE148" i="5"/>
  <c r="J66" i="5"/>
  <c r="I148" i="5"/>
  <c r="AL66" i="5"/>
  <c r="BB179" i="5"/>
  <c r="BB308" i="5"/>
  <c r="BR179" i="5"/>
  <c r="Y66" i="5"/>
  <c r="N66" i="5"/>
  <c r="AD148" i="5"/>
  <c r="BM179" i="5"/>
  <c r="AU179" i="5"/>
  <c r="AT179" i="5"/>
  <c r="AB66" i="5"/>
  <c r="AL469" i="3" a="1"/>
  <c r="P251" i="3" a="1"/>
  <c r="AK66" i="5"/>
  <c r="J148" i="5"/>
  <c r="AZ179" i="5"/>
  <c r="P467" i="3" a="1"/>
  <c r="Z66" i="5"/>
  <c r="W148" i="5"/>
  <c r="AF148" i="5"/>
  <c r="AC66" i="5"/>
  <c r="Q148" i="5"/>
  <c r="BC179" i="5"/>
  <c r="AT308" i="5"/>
  <c r="AL148" i="5"/>
  <c r="BD82" i="5"/>
  <c r="BE179" i="5"/>
  <c r="BP179" i="5"/>
  <c r="BQ179" i="5"/>
  <c r="BH179" i="5"/>
  <c r="BA179" i="5"/>
  <c r="AS179" i="5"/>
  <c r="BO308" i="5"/>
  <c r="AB148" i="5"/>
  <c r="L148" i="5"/>
  <c r="AQ148" i="5"/>
  <c r="R148" i="5"/>
  <c r="AJ66" i="5"/>
  <c r="O148" i="5"/>
  <c r="AK148" i="5"/>
  <c r="AC148" i="5"/>
  <c r="AP148" i="5"/>
  <c r="X294" i="5"/>
  <c r="O127" i="6" s="1" a="1"/>
  <c r="U148" i="5"/>
  <c r="AM148" i="5"/>
  <c r="K148" i="5"/>
  <c r="Y148" i="5"/>
  <c r="M148" i="5"/>
  <c r="AJ148" i="5"/>
  <c r="X148" i="5"/>
  <c r="AK472" i="3" s="1" a="1"/>
  <c r="V148" i="5"/>
  <c r="AH148" i="5"/>
  <c r="N14" i="6" a="1"/>
  <c r="AR308" i="5"/>
  <c r="I127" i="6" a="1"/>
  <c r="F127" i="6" a="1"/>
  <c r="H127" i="6" a="1"/>
  <c r="V127" i="6" a="1"/>
  <c r="X127" i="6" a="1"/>
  <c r="Y127" i="6" a="1"/>
  <c r="I628" i="3" a="1"/>
  <c r="J628" i="3" a="1"/>
  <c r="K280" i="6" a="1"/>
  <c r="Z280" i="6" a="1"/>
  <c r="V280" i="6" a="1"/>
  <c r="J280" i="6" a="1"/>
  <c r="AR222" i="5"/>
  <c r="AC628" i="3" a="1"/>
  <c r="AB628" i="3" a="1"/>
  <c r="AA280" i="6" a="1"/>
  <c r="F280" i="6" a="1"/>
  <c r="X280" i="6" a="1"/>
  <c r="H628" i="3" a="1"/>
  <c r="AE628" i="3" a="1"/>
  <c r="I280" i="6" a="1"/>
  <c r="K628" i="3" a="1"/>
  <c r="Y280" i="6" a="1"/>
  <c r="M628" i="3" a="1"/>
  <c r="AF628" i="3" a="1"/>
  <c r="AD628" i="3" a="1"/>
  <c r="L628" i="3" a="1"/>
  <c r="Z628" i="3" a="1"/>
  <c r="F628" i="3" a="1"/>
  <c r="H280" i="6" a="1"/>
  <c r="AG628" i="3" a="1"/>
  <c r="AJ468" i="3" a="1"/>
  <c r="Q468" i="3" a="1"/>
  <c r="AK468" i="3" a="1"/>
  <c r="P468" i="3" a="1"/>
  <c r="AM365" i="3" a="1"/>
  <c r="S365" i="3" a="1"/>
  <c r="R365" i="3" a="1"/>
  <c r="AL365" i="3" a="1"/>
  <c r="Q365" i="3" a="1"/>
  <c r="AJ365" i="3" a="1"/>
  <c r="P365" i="3" a="1"/>
  <c r="AK365" i="3" a="1"/>
  <c r="AE126" i="6" a="1"/>
  <c r="AL155" i="3" a="1"/>
  <c r="S155" i="3" a="1"/>
  <c r="AM155" i="3" a="1"/>
  <c r="R155" i="3" a="1"/>
  <c r="AO214" i="5"/>
  <c r="BF222" i="5"/>
  <c r="BS179" i="5"/>
  <c r="R468" i="3" a="1"/>
  <c r="AM468" i="3" a="1"/>
  <c r="S468" i="3" a="1"/>
  <c r="AL468" i="3" a="1"/>
  <c r="BG179" i="5"/>
  <c r="T148" i="5"/>
  <c r="BN308" i="5"/>
  <c r="BE82" i="5"/>
  <c r="Z148" i="5"/>
  <c r="BI82" i="5"/>
  <c r="BJ179" i="5"/>
  <c r="AM467" i="3" a="1"/>
  <c r="S467" i="3" a="1"/>
  <c r="R467" i="3" a="1"/>
  <c r="AL467" i="3" a="1"/>
  <c r="O126" i="6" a="1"/>
  <c r="J468" i="3" a="1"/>
  <c r="F468" i="3" a="1"/>
  <c r="AG468" i="3" a="1"/>
  <c r="K468" i="3" a="1"/>
  <c r="Z468" i="3" a="1"/>
  <c r="AD468" i="3" a="1"/>
  <c r="M468" i="3" a="1"/>
  <c r="AR169" i="5"/>
  <c r="L468" i="3" a="1"/>
  <c r="AF468" i="3" a="1"/>
  <c r="AE468" i="3" a="1"/>
  <c r="AC468" i="3" a="1"/>
  <c r="H468" i="3" a="1"/>
  <c r="AB468" i="3" a="1"/>
  <c r="I468" i="3" a="1"/>
  <c r="AK155" i="3" a="1"/>
  <c r="AJ155" i="3" a="1"/>
  <c r="P155" i="3" a="1"/>
  <c r="Q155" i="3" a="1"/>
  <c r="AC490" i="3" a="1"/>
  <c r="AF490" i="3" a="1"/>
  <c r="Z490" i="3" a="1"/>
  <c r="I490" i="3" a="1"/>
  <c r="H490" i="3" a="1"/>
  <c r="AG490" i="3" a="1"/>
  <c r="AR199" i="5"/>
  <c r="L490" i="3" a="1"/>
  <c r="F490" i="3" a="1"/>
  <c r="M490" i="3" a="1"/>
  <c r="AB490" i="3" a="1"/>
  <c r="K14" i="6" a="1"/>
  <c r="J14" i="6" a="1"/>
  <c r="V14" i="6" a="1"/>
  <c r="AA14" i="6" a="1"/>
  <c r="F14" i="6" a="1"/>
  <c r="Z14" i="6" a="1"/>
  <c r="H14" i="6" a="1"/>
  <c r="AR276" i="5"/>
  <c r="I14" i="6" a="1"/>
  <c r="Y14" i="6" a="1"/>
  <c r="X14" i="6" a="1"/>
  <c r="AL470" i="3" a="1"/>
  <c r="R470" i="3" a="1"/>
  <c r="S470" i="3" a="1"/>
  <c r="AM470" i="3" a="1"/>
  <c r="BK179" i="5"/>
  <c r="BP308" i="5"/>
  <c r="AL628" i="3" a="1"/>
  <c r="R628" i="3" a="1"/>
  <c r="S628" i="3" a="1"/>
  <c r="AM628" i="3" a="1"/>
  <c r="AI294" i="5"/>
  <c r="BO179" i="5"/>
  <c r="AO148" i="5"/>
  <c r="Z467" i="3" a="1"/>
  <c r="K467" i="3" a="1"/>
  <c r="AG467" i="3" a="1"/>
  <c r="AE467" i="3" a="1"/>
  <c r="AF467" i="3" a="1"/>
  <c r="AD467" i="3" a="1"/>
  <c r="AR164" i="5"/>
  <c r="M467" i="3" a="1"/>
  <c r="F467" i="3" a="1"/>
  <c r="J467" i="3" a="1"/>
  <c r="L467" i="3" a="1"/>
  <c r="H467" i="3" a="1"/>
  <c r="AB467" i="3" a="1"/>
  <c r="I467" i="3" a="1"/>
  <c r="AC467" i="3" a="1"/>
  <c r="N126" i="6" a="1"/>
  <c r="BF82" i="5"/>
  <c r="AI148" i="5"/>
  <c r="AK255" i="3" a="1"/>
  <c r="Q255" i="3" a="1"/>
  <c r="P255" i="3" a="1"/>
  <c r="AJ255" i="3" a="1"/>
  <c r="AT82" i="5"/>
  <c r="BF348" i="5"/>
  <c r="AJ471" i="3" a="1"/>
  <c r="P471" i="3" a="1"/>
  <c r="AK471" i="3" a="1"/>
  <c r="Q471" i="3" a="1"/>
  <c r="AL490" i="3" a="1"/>
  <c r="S490" i="3" a="1"/>
  <c r="AM490" i="3" a="1"/>
  <c r="R490" i="3" a="1"/>
  <c r="O14" i="6" a="1"/>
  <c r="AR148" i="5"/>
  <c r="AG471" i="3" a="1"/>
  <c r="AR174" i="5"/>
  <c r="AE471" i="3" a="1"/>
  <c r="J471" i="3" a="1"/>
  <c r="M471" i="3" a="1"/>
  <c r="K471" i="3" a="1"/>
  <c r="Z471" i="3" a="1"/>
  <c r="AD471" i="3" a="1"/>
  <c r="AF471" i="3" a="1"/>
  <c r="F471" i="3" a="1"/>
  <c r="L471" i="3" a="1"/>
  <c r="AC471" i="3" a="1"/>
  <c r="H471" i="3" a="1"/>
  <c r="I471" i="3" a="1"/>
  <c r="AB471" i="3" a="1"/>
  <c r="AA148" i="5"/>
  <c r="AR66" i="5"/>
  <c r="AR69" i="5" s="1"/>
  <c r="AR78" i="5"/>
  <c r="Z252" i="3" a="1"/>
  <c r="F252" i="3" a="1"/>
  <c r="L252" i="3" a="1"/>
  <c r="AF252" i="3" a="1"/>
  <c r="M252" i="3" a="1"/>
  <c r="AG252" i="3" a="1"/>
  <c r="I252" i="3" a="1"/>
  <c r="AC252" i="3" a="1"/>
  <c r="AB252" i="3" a="1"/>
  <c r="H252" i="3" a="1"/>
  <c r="K252" i="3" a="1"/>
  <c r="AE252" i="3" a="1"/>
  <c r="J252" i="3" a="1"/>
  <c r="AD252" i="3" a="1"/>
  <c r="BS82" i="5"/>
  <c r="AG148" i="5"/>
  <c r="AX179" i="5"/>
  <c r="S148" i="5"/>
  <c r="BU82" i="5"/>
  <c r="BN179" i="5"/>
  <c r="BT179" i="5"/>
  <c r="AE294" i="5"/>
  <c r="AR304" i="5"/>
  <c r="AD14" i="6" a="1"/>
  <c r="AA126" i="6" a="1"/>
  <c r="F251" i="3" a="1"/>
  <c r="AG251" i="3" a="1"/>
  <c r="L251" i="3" a="1"/>
  <c r="M251" i="3" a="1"/>
  <c r="AE251" i="3" a="1"/>
  <c r="Y126" i="6" a="1"/>
  <c r="AC251" i="3" a="1"/>
  <c r="I126" i="6" a="1"/>
  <c r="V126" i="6" a="1"/>
  <c r="F126" i="6" a="1"/>
  <c r="I251" i="3" a="1"/>
  <c r="K126" i="6" a="1"/>
  <c r="J251" i="3" a="1"/>
  <c r="AR74" i="5"/>
  <c r="AB251" i="3" a="1"/>
  <c r="AD251" i="3" a="1"/>
  <c r="J126" i="6" a="1"/>
  <c r="X126" i="6" a="1"/>
  <c r="Z251" i="3" a="1"/>
  <c r="Z126" i="6" a="1"/>
  <c r="H251" i="3" a="1"/>
  <c r="K251" i="3" a="1"/>
  <c r="AF251" i="3" a="1"/>
  <c r="H126" i="6" a="1"/>
  <c r="BF179" i="5"/>
  <c r="Z155" i="3" a="1"/>
  <c r="AE155" i="3" a="1"/>
  <c r="AB155" i="3" a="1"/>
  <c r="H155" i="3" a="1"/>
  <c r="AC155" i="3" a="1"/>
  <c r="J155" i="3" a="1"/>
  <c r="I155" i="3" a="1"/>
  <c r="AF155" i="3" a="1"/>
  <c r="K155" i="3" a="1"/>
  <c r="AR46" i="5"/>
  <c r="L155" i="3" a="1"/>
  <c r="M155" i="3" a="1"/>
  <c r="AD155" i="3" a="1"/>
  <c r="AG155" i="3" a="1"/>
  <c r="F155" i="3" a="1"/>
  <c r="BV179" i="5"/>
  <c r="AL252" i="3" a="1"/>
  <c r="R252" i="3" a="1"/>
  <c r="AM252" i="3" a="1"/>
  <c r="S252" i="3" a="1"/>
  <c r="AY179" i="5"/>
  <c r="AK252" i="3" a="1"/>
  <c r="AJ252" i="3" a="1"/>
  <c r="P252" i="3" a="1"/>
  <c r="Q252" i="3" a="1"/>
  <c r="BT222" i="5"/>
  <c r="AR348" i="5"/>
  <c r="AJ470" i="3" a="1"/>
  <c r="Q470" i="3" a="1"/>
  <c r="AK470" i="3" a="1"/>
  <c r="P470" i="3" a="1"/>
  <c r="AD127" i="6" a="1"/>
  <c r="N127" i="6" a="1"/>
  <c r="AE14" i="6" a="1"/>
  <c r="AR160" i="5"/>
  <c r="AR159" i="5"/>
  <c r="AF470" i="3" a="1"/>
  <c r="Z470" i="3" a="1"/>
  <c r="M470" i="3" a="1"/>
  <c r="F470" i="3" a="1"/>
  <c r="AG470" i="3" a="1"/>
  <c r="L470" i="3" a="1"/>
  <c r="AB470" i="3" a="1"/>
  <c r="I470" i="3" a="1"/>
  <c r="AC470" i="3" a="1"/>
  <c r="H470" i="3" a="1"/>
  <c r="K470" i="3" a="1"/>
  <c r="J470" i="3" a="1"/>
  <c r="AE470" i="3" a="1"/>
  <c r="AD470" i="3" a="1"/>
  <c r="AD469" i="3" a="1"/>
  <c r="F469" i="3" a="1"/>
  <c r="M469" i="3" a="1"/>
  <c r="AR153" i="5"/>
  <c r="L469" i="3" a="1"/>
  <c r="J469" i="3" a="1"/>
  <c r="AF469" i="3" a="1"/>
  <c r="AE469" i="3" a="1"/>
  <c r="AG469" i="3" a="1"/>
  <c r="Z469" i="3" a="1"/>
  <c r="K469" i="3" a="1"/>
  <c r="AC469" i="3" a="1"/>
  <c r="I469" i="3" a="1"/>
  <c r="H469" i="3" a="1"/>
  <c r="AB469" i="3" a="1"/>
  <c r="AN148" i="5"/>
  <c r="Z365" i="3" a="1"/>
  <c r="K365" i="3" a="1"/>
  <c r="F365" i="3" a="1"/>
  <c r="AG365" i="3" a="1"/>
  <c r="AD365" i="3" a="1"/>
  <c r="M365" i="3" a="1"/>
  <c r="H365" i="3" a="1"/>
  <c r="J365" i="3" a="1"/>
  <c r="AE365" i="3" a="1"/>
  <c r="AR105" i="5"/>
  <c r="AC365" i="3" a="1"/>
  <c r="L365" i="3" a="1"/>
  <c r="AB365" i="3" a="1"/>
  <c r="AF365" i="3" a="1"/>
  <c r="I365" i="3" a="1"/>
  <c r="P148" i="5"/>
  <c r="AE127" i="6" l="1" a="1"/>
  <c r="AL255" i="3" a="1"/>
  <c r="R255" i="3" a="1"/>
  <c r="S255" i="3" a="1"/>
  <c r="AM255" i="3" a="1"/>
  <c r="Q472" i="3" a="1"/>
  <c r="P472" i="3" a="1"/>
  <c r="AJ472" i="3" a="1"/>
  <c r="K127" i="6" a="1"/>
  <c r="J127" i="6" a="1"/>
  <c r="Z127" i="6" a="1"/>
  <c r="AA127" i="6" a="1"/>
  <c r="F255" i="3" a="1"/>
  <c r="Z255" i="3" a="1"/>
  <c r="AR82" i="5"/>
  <c r="AF255" i="3" a="1"/>
  <c r="L255" i="3" a="1"/>
  <c r="M255" i="3" a="1"/>
  <c r="AG255" i="3" a="1"/>
  <c r="H255" i="3" a="1"/>
  <c r="AC255" i="3" a="1"/>
  <c r="AB255" i="3" a="1"/>
  <c r="I255" i="3" a="1"/>
  <c r="AE255" i="3" a="1"/>
  <c r="K255" i="3" a="1"/>
  <c r="AD255" i="3" a="1"/>
  <c r="J255" i="3" a="1"/>
  <c r="BK222" i="5"/>
  <c r="AW222" i="5"/>
  <c r="R472" i="3" a="1"/>
  <c r="S472" i="3" a="1"/>
  <c r="AL472" i="3" a="1"/>
  <c r="AM472" i="3" a="1"/>
  <c r="AF472" i="3" a="1"/>
  <c r="L472" i="3" a="1"/>
  <c r="AG472" i="3" a="1"/>
  <c r="M472" i="3" a="1"/>
  <c r="Z472" i="3" a="1"/>
  <c r="F472" i="3" a="1"/>
  <c r="AR179" i="5"/>
  <c r="K472" i="3" a="1"/>
  <c r="J472" i="3" a="1"/>
  <c r="AD472" i="3" a="1"/>
  <c r="AE472" i="3" a="1"/>
  <c r="H472" i="3" a="1"/>
  <c r="AC472" i="3" a="1"/>
  <c r="AB472" i="3" a="1"/>
  <c r="I472" i="3" a="1"/>
  <c r="AH214" i="5"/>
  <c r="BP348" i="5"/>
  <c r="O280" i="6" l="1" a="1"/>
  <c r="AE280" i="6" a="1"/>
  <c r="P628" i="3" a="1"/>
  <c r="AJ628" i="3" a="1"/>
  <c r="Q628" i="3" a="1"/>
  <c r="N280" i="6" a="1"/>
  <c r="AK628" i="3" a="1"/>
  <c r="AD280" i="6" a="1"/>
  <c r="BB348" i="5"/>
  <c r="AA214" i="5"/>
  <c r="T214" i="5" l="1"/>
  <c r="Z340" i="5"/>
  <c r="BR304" i="5" l="1"/>
  <c r="BR308" i="5" s="1"/>
  <c r="M214" i="5"/>
  <c r="X189" i="5" l="1"/>
  <c r="J490" i="3" l="1" a="1"/>
  <c r="Q490" i="3" a="1"/>
  <c r="K490" i="3" a="1"/>
  <c r="P490" i="3" a="1"/>
  <c r="AD490" i="3" a="1"/>
  <c r="AK490" i="3" a="1"/>
  <c r="AJ490" i="3" a="1"/>
  <c r="AE490" i="3" a="1"/>
  <c r="AM836" i="3" l="1"/>
  <c r="AL836" i="3"/>
  <c r="AK836" i="3"/>
  <c r="AJ836" i="3"/>
  <c r="AG836" i="3"/>
  <c r="AF836" i="3"/>
  <c r="AE836" i="3"/>
  <c r="AD836" i="3"/>
  <c r="AC836" i="3"/>
  <c r="AB836" i="3"/>
  <c r="Z836" i="3"/>
  <c r="S836" i="3"/>
  <c r="R836" i="3"/>
  <c r="Q836" i="3"/>
  <c r="P836" i="3"/>
  <c r="M836" i="3"/>
  <c r="L836" i="3"/>
  <c r="K836" i="3"/>
  <c r="J836" i="3"/>
  <c r="I836" i="3"/>
  <c r="H836" i="3"/>
  <c r="F836" i="3"/>
  <c r="AM835" i="3"/>
  <c r="AL835" i="3"/>
  <c r="AK835" i="3"/>
  <c r="AJ835" i="3"/>
  <c r="AG835" i="3"/>
  <c r="AF835" i="3"/>
  <c r="AE835" i="3"/>
  <c r="AD835" i="3"/>
  <c r="AC835" i="3"/>
  <c r="AB835" i="3"/>
  <c r="Z835" i="3"/>
  <c r="S835" i="3"/>
  <c r="R835" i="3"/>
  <c r="Q835" i="3"/>
  <c r="P835" i="3"/>
  <c r="M835" i="3"/>
  <c r="L835" i="3"/>
  <c r="K835" i="3"/>
  <c r="J835" i="3"/>
  <c r="I835" i="3"/>
  <c r="H835" i="3"/>
  <c r="F835" i="3"/>
  <c r="AM834" i="3"/>
  <c r="AL834" i="3"/>
  <c r="AK834" i="3"/>
  <c r="AJ834" i="3"/>
  <c r="AG834" i="3"/>
  <c r="AF834" i="3"/>
  <c r="AE834" i="3"/>
  <c r="AD834" i="3"/>
  <c r="AC834" i="3"/>
  <c r="AB834" i="3"/>
  <c r="Z834" i="3"/>
  <c r="S834" i="3"/>
  <c r="R834" i="3"/>
  <c r="Q834" i="3"/>
  <c r="P834" i="3"/>
  <c r="M834" i="3"/>
  <c r="L834" i="3"/>
  <c r="K834" i="3"/>
  <c r="J834" i="3"/>
  <c r="I834" i="3"/>
  <c r="H834" i="3"/>
  <c r="F834" i="3"/>
  <c r="AM733" i="3"/>
  <c r="AL733" i="3"/>
  <c r="AK733" i="3"/>
  <c r="AJ733" i="3"/>
  <c r="AG733" i="3"/>
  <c r="AF733" i="3"/>
  <c r="AE733" i="3"/>
  <c r="AD733" i="3"/>
  <c r="AC733" i="3"/>
  <c r="AB733" i="3"/>
  <c r="Z733" i="3"/>
  <c r="S733" i="3"/>
  <c r="R733" i="3"/>
  <c r="Q733" i="3"/>
  <c r="P733" i="3"/>
  <c r="M733" i="3"/>
  <c r="L733" i="3"/>
  <c r="K733" i="3"/>
  <c r="J733" i="3"/>
  <c r="I733" i="3"/>
  <c r="H733" i="3"/>
  <c r="F733" i="3"/>
  <c r="AM732" i="3"/>
  <c r="AL732" i="3"/>
  <c r="AK732" i="3"/>
  <c r="AJ732" i="3"/>
  <c r="AG732" i="3"/>
  <c r="AF732" i="3"/>
  <c r="AE732" i="3"/>
  <c r="AD732" i="3"/>
  <c r="AC732" i="3"/>
  <c r="AB732" i="3"/>
  <c r="Z732" i="3"/>
  <c r="S732" i="3"/>
  <c r="R732" i="3"/>
  <c r="Q732" i="3"/>
  <c r="P732" i="3"/>
  <c r="M732" i="3"/>
  <c r="L732" i="3"/>
  <c r="K732" i="3"/>
  <c r="J732" i="3"/>
  <c r="I732" i="3"/>
  <c r="H732" i="3"/>
  <c r="F732" i="3"/>
  <c r="AM731" i="3"/>
  <c r="AL731" i="3"/>
  <c r="AK731" i="3"/>
  <c r="AJ731" i="3"/>
  <c r="AG731" i="3"/>
  <c r="AF731" i="3"/>
  <c r="AE731" i="3"/>
  <c r="AD731" i="3"/>
  <c r="AC731" i="3"/>
  <c r="AB731" i="3"/>
  <c r="Z731" i="3"/>
  <c r="S731" i="3"/>
  <c r="R731" i="3"/>
  <c r="Q731" i="3"/>
  <c r="P731" i="3"/>
  <c r="M731" i="3"/>
  <c r="L731" i="3"/>
  <c r="K731" i="3"/>
  <c r="J731" i="3"/>
  <c r="I731" i="3"/>
  <c r="H731" i="3"/>
  <c r="F731" i="3"/>
  <c r="AM730" i="3"/>
  <c r="AL730" i="3"/>
  <c r="AK730" i="3"/>
  <c r="AJ730" i="3"/>
  <c r="AG730" i="3"/>
  <c r="AF730" i="3"/>
  <c r="AE730" i="3"/>
  <c r="AD730" i="3"/>
  <c r="AC730" i="3"/>
  <c r="AB730" i="3"/>
  <c r="Z730" i="3"/>
  <c r="S730" i="3"/>
  <c r="R730" i="3"/>
  <c r="Q730" i="3"/>
  <c r="P730" i="3"/>
  <c r="M730" i="3"/>
  <c r="L730" i="3"/>
  <c r="K730" i="3"/>
  <c r="J730" i="3"/>
  <c r="I730" i="3"/>
  <c r="H730" i="3"/>
  <c r="F730" i="3"/>
  <c r="AM729" i="3"/>
  <c r="AL729" i="3"/>
  <c r="AK729" i="3"/>
  <c r="AJ729" i="3"/>
  <c r="AG729" i="3"/>
  <c r="AF729" i="3"/>
  <c r="AE729" i="3"/>
  <c r="AD729" i="3"/>
  <c r="AC729" i="3"/>
  <c r="AB729" i="3"/>
  <c r="Z729" i="3"/>
  <c r="S729" i="3"/>
  <c r="R729" i="3"/>
  <c r="Q729" i="3"/>
  <c r="P729" i="3"/>
  <c r="M729" i="3"/>
  <c r="L729" i="3"/>
  <c r="K729" i="3"/>
  <c r="J729" i="3"/>
  <c r="I729" i="3"/>
  <c r="H729" i="3"/>
  <c r="F729" i="3"/>
  <c r="AM629" i="3"/>
  <c r="AL629" i="3"/>
  <c r="AK629" i="3"/>
  <c r="AJ629" i="3"/>
  <c r="AG629" i="3"/>
  <c r="AF629" i="3"/>
  <c r="AE629" i="3"/>
  <c r="AD629" i="3"/>
  <c r="AC629" i="3"/>
  <c r="AB629" i="3"/>
  <c r="Z629" i="3"/>
  <c r="S629" i="3"/>
  <c r="R629" i="3"/>
  <c r="Q629" i="3"/>
  <c r="P629" i="3"/>
  <c r="M629" i="3"/>
  <c r="L629" i="3"/>
  <c r="K629" i="3"/>
  <c r="J629" i="3"/>
  <c r="I629" i="3"/>
  <c r="H629" i="3"/>
  <c r="F629" i="3"/>
  <c r="AM628" i="3"/>
  <c r="AL628" i="3"/>
  <c r="AK628" i="3"/>
  <c r="AJ628" i="3"/>
  <c r="AG628" i="3"/>
  <c r="AF628" i="3"/>
  <c r="AE628" i="3"/>
  <c r="AD628" i="3"/>
  <c r="AC628" i="3"/>
  <c r="AB628" i="3"/>
  <c r="Z628" i="3"/>
  <c r="S628" i="3"/>
  <c r="R628" i="3"/>
  <c r="Q628" i="3"/>
  <c r="P628" i="3"/>
  <c r="M628" i="3"/>
  <c r="L628" i="3"/>
  <c r="K628" i="3"/>
  <c r="J628" i="3"/>
  <c r="I628" i="3"/>
  <c r="H628" i="3"/>
  <c r="F628" i="3"/>
  <c r="AM627" i="3"/>
  <c r="AL627" i="3"/>
  <c r="AK627" i="3"/>
  <c r="AJ627" i="3"/>
  <c r="AG627" i="3"/>
  <c r="AF627" i="3"/>
  <c r="AE627" i="3"/>
  <c r="AD627" i="3"/>
  <c r="AC627" i="3"/>
  <c r="AB627" i="3"/>
  <c r="Z627" i="3"/>
  <c r="S627" i="3"/>
  <c r="R627" i="3"/>
  <c r="Q627" i="3"/>
  <c r="P627" i="3"/>
  <c r="M627" i="3"/>
  <c r="L627" i="3"/>
  <c r="K627" i="3"/>
  <c r="J627" i="3"/>
  <c r="I627" i="3"/>
  <c r="H627" i="3"/>
  <c r="F627" i="3"/>
  <c r="AM626" i="3"/>
  <c r="AL626" i="3"/>
  <c r="AK626" i="3"/>
  <c r="AJ626" i="3"/>
  <c r="AG626" i="3"/>
  <c r="AF626" i="3"/>
  <c r="AE626" i="3"/>
  <c r="AD626" i="3"/>
  <c r="AC626" i="3"/>
  <c r="AB626" i="3"/>
  <c r="Z626" i="3"/>
  <c r="S626" i="3"/>
  <c r="R626" i="3"/>
  <c r="Q626" i="3"/>
  <c r="P626" i="3"/>
  <c r="M626" i="3"/>
  <c r="L626" i="3"/>
  <c r="K626" i="3"/>
  <c r="J626" i="3"/>
  <c r="I626" i="3"/>
  <c r="H626" i="3"/>
  <c r="F626" i="3"/>
  <c r="AM625" i="3"/>
  <c r="AL625" i="3"/>
  <c r="AK625" i="3"/>
  <c r="AJ625" i="3"/>
  <c r="AG625" i="3"/>
  <c r="AF625" i="3"/>
  <c r="AE625" i="3"/>
  <c r="AD625" i="3"/>
  <c r="AC625" i="3"/>
  <c r="AB625" i="3"/>
  <c r="Z625" i="3"/>
  <c r="S625" i="3"/>
  <c r="R625" i="3"/>
  <c r="Q625" i="3"/>
  <c r="P625" i="3"/>
  <c r="M625" i="3"/>
  <c r="L625" i="3"/>
  <c r="K625" i="3"/>
  <c r="J625" i="3"/>
  <c r="I625" i="3"/>
  <c r="H625" i="3"/>
  <c r="F625" i="3"/>
  <c r="AM624" i="3"/>
  <c r="AL624" i="3"/>
  <c r="AK624" i="3"/>
  <c r="AJ624" i="3"/>
  <c r="AG624" i="3"/>
  <c r="AF624" i="3"/>
  <c r="AE624" i="3"/>
  <c r="AD624" i="3"/>
  <c r="AC624" i="3"/>
  <c r="AB624" i="3"/>
  <c r="Z624" i="3"/>
  <c r="S624" i="3"/>
  <c r="R624" i="3"/>
  <c r="Q624" i="3"/>
  <c r="P624" i="3"/>
  <c r="M624" i="3"/>
  <c r="L624" i="3"/>
  <c r="K624" i="3"/>
  <c r="J624" i="3"/>
  <c r="I624" i="3"/>
  <c r="H624" i="3"/>
  <c r="F624" i="3"/>
  <c r="AM491" i="3"/>
  <c r="AL491" i="3"/>
  <c r="AK491" i="3"/>
  <c r="AJ491" i="3"/>
  <c r="AG491" i="3"/>
  <c r="AF491" i="3"/>
  <c r="AE491" i="3"/>
  <c r="AD491" i="3"/>
  <c r="AC491" i="3"/>
  <c r="AB491" i="3"/>
  <c r="Z491" i="3"/>
  <c r="S491" i="3"/>
  <c r="R491" i="3"/>
  <c r="Q491" i="3"/>
  <c r="P491" i="3"/>
  <c r="M491" i="3"/>
  <c r="L491" i="3"/>
  <c r="K491" i="3"/>
  <c r="J491" i="3"/>
  <c r="I491" i="3"/>
  <c r="H491" i="3"/>
  <c r="F491" i="3"/>
  <c r="AM490" i="3"/>
  <c r="AL490" i="3"/>
  <c r="AK490" i="3"/>
  <c r="AJ490" i="3"/>
  <c r="AG490" i="3"/>
  <c r="AF490" i="3"/>
  <c r="AE490" i="3"/>
  <c r="AD490" i="3"/>
  <c r="AC490" i="3"/>
  <c r="AB490" i="3"/>
  <c r="Z490" i="3"/>
  <c r="S490" i="3"/>
  <c r="R490" i="3"/>
  <c r="Q490" i="3"/>
  <c r="P490" i="3"/>
  <c r="M490" i="3"/>
  <c r="L490" i="3"/>
  <c r="K490" i="3"/>
  <c r="J490" i="3"/>
  <c r="I490" i="3"/>
  <c r="H490" i="3"/>
  <c r="F490" i="3"/>
  <c r="AM489" i="3"/>
  <c r="AL489" i="3"/>
  <c r="AK489" i="3"/>
  <c r="AJ489" i="3"/>
  <c r="AG489" i="3"/>
  <c r="AF489" i="3"/>
  <c r="AE489" i="3"/>
  <c r="AD489" i="3"/>
  <c r="AC489" i="3"/>
  <c r="AB489" i="3"/>
  <c r="Z489" i="3"/>
  <c r="S489" i="3"/>
  <c r="R489" i="3"/>
  <c r="Q489" i="3"/>
  <c r="P489" i="3"/>
  <c r="M489" i="3"/>
  <c r="L489" i="3"/>
  <c r="K489" i="3"/>
  <c r="J489" i="3"/>
  <c r="I489" i="3"/>
  <c r="H489" i="3"/>
  <c r="F489" i="3"/>
  <c r="AM488" i="3"/>
  <c r="AL488" i="3"/>
  <c r="AK488" i="3"/>
  <c r="AJ488" i="3"/>
  <c r="AG488" i="3"/>
  <c r="AF488" i="3"/>
  <c r="AE488" i="3"/>
  <c r="AD488" i="3"/>
  <c r="AC488" i="3"/>
  <c r="AB488" i="3"/>
  <c r="Z488" i="3"/>
  <c r="S488" i="3"/>
  <c r="R488" i="3"/>
  <c r="Q488" i="3"/>
  <c r="P488" i="3"/>
  <c r="M488" i="3"/>
  <c r="L488" i="3"/>
  <c r="K488" i="3"/>
  <c r="J488" i="3"/>
  <c r="I488" i="3"/>
  <c r="H488" i="3"/>
  <c r="F488" i="3"/>
  <c r="AM487" i="3"/>
  <c r="AL487" i="3"/>
  <c r="AK487" i="3"/>
  <c r="AJ487" i="3"/>
  <c r="AG487" i="3"/>
  <c r="AF487" i="3"/>
  <c r="AE487" i="3"/>
  <c r="AD487" i="3"/>
  <c r="AC487" i="3"/>
  <c r="AB487" i="3"/>
  <c r="Z487" i="3"/>
  <c r="S487" i="3"/>
  <c r="R487" i="3"/>
  <c r="Q487" i="3"/>
  <c r="P487" i="3"/>
  <c r="M487" i="3"/>
  <c r="L487" i="3"/>
  <c r="K487" i="3"/>
  <c r="J487" i="3"/>
  <c r="I487" i="3"/>
  <c r="H487" i="3"/>
  <c r="F487" i="3"/>
  <c r="AM473" i="3"/>
  <c r="AL473" i="3"/>
  <c r="AK473" i="3"/>
  <c r="AJ473" i="3"/>
  <c r="AG473" i="3"/>
  <c r="AF473" i="3"/>
  <c r="AE473" i="3"/>
  <c r="AD473" i="3"/>
  <c r="AC473" i="3"/>
  <c r="AB473" i="3"/>
  <c r="Z473" i="3"/>
  <c r="S473" i="3"/>
  <c r="R473" i="3"/>
  <c r="Q473" i="3"/>
  <c r="P473" i="3"/>
  <c r="M473" i="3"/>
  <c r="L473" i="3"/>
  <c r="K473" i="3"/>
  <c r="J473" i="3"/>
  <c r="I473" i="3"/>
  <c r="H473" i="3"/>
  <c r="F473" i="3"/>
  <c r="AM472" i="3"/>
  <c r="AL472" i="3"/>
  <c r="AK472" i="3"/>
  <c r="AJ472" i="3"/>
  <c r="AG472" i="3"/>
  <c r="AF472" i="3"/>
  <c r="AE472" i="3"/>
  <c r="AD472" i="3"/>
  <c r="AC472" i="3"/>
  <c r="AB472" i="3"/>
  <c r="Z472" i="3"/>
  <c r="S472" i="3"/>
  <c r="R472" i="3"/>
  <c r="Q472" i="3"/>
  <c r="P472" i="3"/>
  <c r="M472" i="3"/>
  <c r="L472" i="3"/>
  <c r="K472" i="3"/>
  <c r="J472" i="3"/>
  <c r="I472" i="3"/>
  <c r="H472" i="3"/>
  <c r="F472" i="3"/>
  <c r="AM471" i="3"/>
  <c r="AL471" i="3"/>
  <c r="AK471" i="3"/>
  <c r="AJ471" i="3"/>
  <c r="AG471" i="3"/>
  <c r="AF471" i="3"/>
  <c r="AE471" i="3"/>
  <c r="AD471" i="3"/>
  <c r="AC471" i="3"/>
  <c r="AB471" i="3"/>
  <c r="Z471" i="3"/>
  <c r="S471" i="3"/>
  <c r="R471" i="3"/>
  <c r="Q471" i="3"/>
  <c r="P471" i="3"/>
  <c r="M471" i="3"/>
  <c r="L471" i="3"/>
  <c r="K471" i="3"/>
  <c r="J471" i="3"/>
  <c r="I471" i="3"/>
  <c r="H471" i="3"/>
  <c r="F471" i="3"/>
  <c r="AM470" i="3"/>
  <c r="AL470" i="3"/>
  <c r="AK470" i="3"/>
  <c r="AJ470" i="3"/>
  <c r="AG470" i="3"/>
  <c r="AF470" i="3"/>
  <c r="AE470" i="3"/>
  <c r="AD470" i="3"/>
  <c r="AC470" i="3"/>
  <c r="AB470" i="3"/>
  <c r="Z470" i="3"/>
  <c r="S470" i="3"/>
  <c r="R470" i="3"/>
  <c r="Q470" i="3"/>
  <c r="P470" i="3"/>
  <c r="M470" i="3"/>
  <c r="L470" i="3"/>
  <c r="K470" i="3"/>
  <c r="J470" i="3"/>
  <c r="I470" i="3"/>
  <c r="H470" i="3"/>
  <c r="F470" i="3"/>
  <c r="AM469" i="3"/>
  <c r="AL469" i="3"/>
  <c r="AK469" i="3"/>
  <c r="AJ469" i="3"/>
  <c r="AG469" i="3"/>
  <c r="AF469" i="3"/>
  <c r="AE469" i="3"/>
  <c r="AD469" i="3"/>
  <c r="AC469" i="3"/>
  <c r="AB469" i="3"/>
  <c r="Z469" i="3"/>
  <c r="S469" i="3"/>
  <c r="R469" i="3"/>
  <c r="Q469" i="3"/>
  <c r="P469" i="3"/>
  <c r="M469" i="3"/>
  <c r="L469" i="3"/>
  <c r="K469" i="3"/>
  <c r="J469" i="3"/>
  <c r="I469" i="3"/>
  <c r="H469" i="3"/>
  <c r="F469" i="3"/>
  <c r="AM468" i="3"/>
  <c r="AL468" i="3"/>
  <c r="AK468" i="3"/>
  <c r="AJ468" i="3"/>
  <c r="AG468" i="3"/>
  <c r="AF468" i="3"/>
  <c r="AE468" i="3"/>
  <c r="AD468" i="3"/>
  <c r="AC468" i="3"/>
  <c r="AB468" i="3"/>
  <c r="Z468" i="3"/>
  <c r="S468" i="3"/>
  <c r="R468" i="3"/>
  <c r="Q468" i="3"/>
  <c r="P468" i="3"/>
  <c r="M468" i="3"/>
  <c r="L468" i="3"/>
  <c r="K468" i="3"/>
  <c r="J468" i="3"/>
  <c r="I468" i="3"/>
  <c r="H468" i="3"/>
  <c r="F468" i="3"/>
  <c r="AM467" i="3"/>
  <c r="AL467" i="3"/>
  <c r="AK467" i="3"/>
  <c r="AJ467" i="3"/>
  <c r="AG467" i="3"/>
  <c r="AF467" i="3"/>
  <c r="AE467" i="3"/>
  <c r="AD467" i="3"/>
  <c r="AC467" i="3"/>
  <c r="AB467" i="3"/>
  <c r="Z467" i="3"/>
  <c r="S467" i="3"/>
  <c r="R467" i="3"/>
  <c r="Q467" i="3"/>
  <c r="P467" i="3"/>
  <c r="M467" i="3"/>
  <c r="L467" i="3"/>
  <c r="K467" i="3"/>
  <c r="J467" i="3"/>
  <c r="I467" i="3"/>
  <c r="H467" i="3"/>
  <c r="F467" i="3"/>
  <c r="AM466" i="3"/>
  <c r="AL466" i="3"/>
  <c r="AK466" i="3"/>
  <c r="AJ466" i="3"/>
  <c r="AG466" i="3"/>
  <c r="AF466" i="3"/>
  <c r="AE466" i="3"/>
  <c r="AD466" i="3"/>
  <c r="AC466" i="3"/>
  <c r="AB466" i="3"/>
  <c r="Z466" i="3"/>
  <c r="S466" i="3"/>
  <c r="R466" i="3"/>
  <c r="Q466" i="3"/>
  <c r="P466" i="3"/>
  <c r="M466" i="3"/>
  <c r="L466" i="3"/>
  <c r="K466" i="3"/>
  <c r="J466" i="3"/>
  <c r="I466" i="3"/>
  <c r="H466" i="3"/>
  <c r="F466" i="3"/>
  <c r="AM366" i="3"/>
  <c r="AL366" i="3"/>
  <c r="AK366" i="3"/>
  <c r="AJ366" i="3"/>
  <c r="AG366" i="3"/>
  <c r="AF366" i="3"/>
  <c r="AE366" i="3"/>
  <c r="AD366" i="3"/>
  <c r="AC366" i="3"/>
  <c r="AB366" i="3"/>
  <c r="Z366" i="3"/>
  <c r="S366" i="3"/>
  <c r="R366" i="3"/>
  <c r="Q366" i="3"/>
  <c r="P366" i="3"/>
  <c r="M366" i="3"/>
  <c r="L366" i="3"/>
  <c r="K366" i="3"/>
  <c r="J366" i="3"/>
  <c r="I366" i="3"/>
  <c r="H366" i="3"/>
  <c r="F366" i="3"/>
  <c r="G366" i="3" s="1"/>
  <c r="AM365" i="3"/>
  <c r="AL365" i="3"/>
  <c r="AK365" i="3"/>
  <c r="AJ365" i="3"/>
  <c r="AG365" i="3"/>
  <c r="AF365" i="3"/>
  <c r="AE365" i="3"/>
  <c r="AD365" i="3"/>
  <c r="AC365" i="3"/>
  <c r="AB365" i="3"/>
  <c r="Z365" i="3"/>
  <c r="S365" i="3"/>
  <c r="R365" i="3"/>
  <c r="Q365" i="3"/>
  <c r="P365" i="3"/>
  <c r="M365" i="3"/>
  <c r="L365" i="3"/>
  <c r="K365" i="3"/>
  <c r="J365" i="3"/>
  <c r="I365" i="3"/>
  <c r="H365" i="3"/>
  <c r="F365" i="3"/>
  <c r="AM364" i="3"/>
  <c r="AL364" i="3"/>
  <c r="AK364" i="3"/>
  <c r="AJ364" i="3"/>
  <c r="AG364" i="3"/>
  <c r="AF364" i="3"/>
  <c r="AE364" i="3"/>
  <c r="AD364" i="3"/>
  <c r="AC364" i="3"/>
  <c r="AB364" i="3"/>
  <c r="Z364" i="3"/>
  <c r="S364" i="3"/>
  <c r="R364" i="3"/>
  <c r="Q364" i="3"/>
  <c r="P364" i="3"/>
  <c r="M364" i="3"/>
  <c r="L364" i="3"/>
  <c r="K364" i="3"/>
  <c r="J364" i="3"/>
  <c r="I364" i="3"/>
  <c r="H364" i="3"/>
  <c r="F364" i="3"/>
  <c r="AM363" i="3"/>
  <c r="AL363" i="3"/>
  <c r="AK363" i="3"/>
  <c r="AJ363" i="3"/>
  <c r="AG363" i="3"/>
  <c r="AF363" i="3"/>
  <c r="AE363" i="3"/>
  <c r="AD363" i="3"/>
  <c r="AC363" i="3"/>
  <c r="AB363" i="3"/>
  <c r="Z363" i="3"/>
  <c r="S363" i="3"/>
  <c r="R363" i="3"/>
  <c r="Q363" i="3"/>
  <c r="P363" i="3"/>
  <c r="M363" i="3"/>
  <c r="L363" i="3"/>
  <c r="K363" i="3"/>
  <c r="J363" i="3"/>
  <c r="I363" i="3"/>
  <c r="H363" i="3"/>
  <c r="F363" i="3"/>
  <c r="AM362" i="3"/>
  <c r="AL362" i="3"/>
  <c r="AK362" i="3"/>
  <c r="AJ362" i="3"/>
  <c r="AG362" i="3"/>
  <c r="AF362" i="3"/>
  <c r="AE362" i="3"/>
  <c r="AD362" i="3"/>
  <c r="AC362" i="3"/>
  <c r="AB362" i="3"/>
  <c r="Z362" i="3"/>
  <c r="AA362" i="3" s="1"/>
  <c r="S362" i="3"/>
  <c r="R362" i="3"/>
  <c r="Q362" i="3"/>
  <c r="P362" i="3"/>
  <c r="M362" i="3"/>
  <c r="L362" i="3"/>
  <c r="K362" i="3"/>
  <c r="J362" i="3"/>
  <c r="I362" i="3"/>
  <c r="H362" i="3"/>
  <c r="F362" i="3"/>
  <c r="G362" i="3" s="1"/>
  <c r="AM256" i="3"/>
  <c r="AL256" i="3"/>
  <c r="AK256" i="3"/>
  <c r="AJ256" i="3"/>
  <c r="AG256" i="3"/>
  <c r="AF256" i="3"/>
  <c r="AE256" i="3"/>
  <c r="AD256" i="3"/>
  <c r="AC256" i="3"/>
  <c r="AB256" i="3"/>
  <c r="Z256" i="3"/>
  <c r="S256" i="3"/>
  <c r="R256" i="3"/>
  <c r="Q256" i="3"/>
  <c r="P256" i="3"/>
  <c r="M256" i="3"/>
  <c r="L256" i="3"/>
  <c r="K256" i="3"/>
  <c r="J256" i="3"/>
  <c r="I256" i="3"/>
  <c r="H256" i="3"/>
  <c r="F256" i="3"/>
  <c r="AM255" i="3"/>
  <c r="AL255" i="3"/>
  <c r="AK255" i="3"/>
  <c r="AJ255" i="3"/>
  <c r="AG255" i="3"/>
  <c r="AF255" i="3"/>
  <c r="AE255" i="3"/>
  <c r="AD255" i="3"/>
  <c r="AC255" i="3"/>
  <c r="AB255" i="3"/>
  <c r="Z255" i="3"/>
  <c r="S255" i="3"/>
  <c r="R255" i="3"/>
  <c r="Q255" i="3"/>
  <c r="P255" i="3"/>
  <c r="M255" i="3"/>
  <c r="L255" i="3"/>
  <c r="K255" i="3"/>
  <c r="J255" i="3"/>
  <c r="I255" i="3"/>
  <c r="H255" i="3"/>
  <c r="F255" i="3"/>
  <c r="AM254" i="3"/>
  <c r="AL254" i="3"/>
  <c r="AK254" i="3"/>
  <c r="AJ254" i="3"/>
  <c r="AG254" i="3"/>
  <c r="AF254" i="3"/>
  <c r="AE254" i="3"/>
  <c r="AD254" i="3"/>
  <c r="AC254" i="3"/>
  <c r="AB254" i="3"/>
  <c r="Z254" i="3"/>
  <c r="S254" i="3"/>
  <c r="R254" i="3"/>
  <c r="Q254" i="3"/>
  <c r="P254" i="3"/>
  <c r="M254" i="3"/>
  <c r="L254" i="3"/>
  <c r="K254" i="3"/>
  <c r="J254" i="3"/>
  <c r="I254" i="3"/>
  <c r="H254" i="3"/>
  <c r="F254" i="3"/>
  <c r="AM253" i="3"/>
  <c r="AL253" i="3"/>
  <c r="AK253" i="3"/>
  <c r="AJ253" i="3"/>
  <c r="AG253" i="3"/>
  <c r="AF253" i="3"/>
  <c r="AE253" i="3"/>
  <c r="AD253" i="3"/>
  <c r="AC253" i="3"/>
  <c r="AB253" i="3"/>
  <c r="Z253" i="3"/>
  <c r="S253" i="3"/>
  <c r="R253" i="3"/>
  <c r="Q253" i="3"/>
  <c r="P253" i="3"/>
  <c r="M253" i="3"/>
  <c r="L253" i="3"/>
  <c r="K253" i="3"/>
  <c r="J253" i="3"/>
  <c r="I253" i="3"/>
  <c r="H253" i="3"/>
  <c r="F253" i="3"/>
  <c r="AM252" i="3"/>
  <c r="AL252" i="3"/>
  <c r="AK252" i="3"/>
  <c r="AJ252" i="3"/>
  <c r="AG252" i="3"/>
  <c r="AF252" i="3"/>
  <c r="AE252" i="3"/>
  <c r="AD252" i="3"/>
  <c r="AC252" i="3"/>
  <c r="AB252" i="3"/>
  <c r="Z252" i="3"/>
  <c r="S252" i="3"/>
  <c r="R252" i="3"/>
  <c r="Q252" i="3"/>
  <c r="P252" i="3"/>
  <c r="M252" i="3"/>
  <c r="L252" i="3"/>
  <c r="K252" i="3"/>
  <c r="J252" i="3"/>
  <c r="I252" i="3"/>
  <c r="H252" i="3"/>
  <c r="F252" i="3"/>
  <c r="G252" i="3" s="1"/>
  <c r="AM251" i="3"/>
  <c r="AL251" i="3"/>
  <c r="AK251" i="3"/>
  <c r="AJ251" i="3"/>
  <c r="AG251" i="3"/>
  <c r="AF251" i="3"/>
  <c r="AE251" i="3"/>
  <c r="AD251" i="3"/>
  <c r="AC251" i="3"/>
  <c r="AB251" i="3"/>
  <c r="Z251" i="3"/>
  <c r="S251" i="3"/>
  <c r="R251" i="3"/>
  <c r="Q251" i="3"/>
  <c r="P251" i="3"/>
  <c r="M251" i="3"/>
  <c r="L251" i="3"/>
  <c r="K251" i="3"/>
  <c r="J251" i="3"/>
  <c r="I251" i="3"/>
  <c r="H251" i="3"/>
  <c r="F251" i="3"/>
  <c r="AM250" i="3"/>
  <c r="AL250" i="3"/>
  <c r="AK250" i="3"/>
  <c r="AJ250" i="3"/>
  <c r="AG250" i="3"/>
  <c r="AF250" i="3"/>
  <c r="AE250" i="3"/>
  <c r="AD250" i="3"/>
  <c r="AC250" i="3"/>
  <c r="AB250" i="3"/>
  <c r="Z250" i="3"/>
  <c r="S250" i="3"/>
  <c r="R250" i="3"/>
  <c r="Q250" i="3"/>
  <c r="P250" i="3"/>
  <c r="M250" i="3"/>
  <c r="L250" i="3"/>
  <c r="K250" i="3"/>
  <c r="J250" i="3"/>
  <c r="I250" i="3"/>
  <c r="H250" i="3"/>
  <c r="F250" i="3"/>
  <c r="AM249" i="3"/>
  <c r="AL249" i="3"/>
  <c r="AK249" i="3"/>
  <c r="AJ249" i="3"/>
  <c r="AG249" i="3"/>
  <c r="AF249" i="3"/>
  <c r="AE249" i="3"/>
  <c r="AD249" i="3"/>
  <c r="AC249" i="3"/>
  <c r="AB249" i="3"/>
  <c r="Z249" i="3"/>
  <c r="S249" i="3"/>
  <c r="R249" i="3"/>
  <c r="Q249" i="3"/>
  <c r="P249" i="3"/>
  <c r="M249" i="3"/>
  <c r="L249" i="3"/>
  <c r="K249" i="3"/>
  <c r="J249" i="3"/>
  <c r="I249" i="3"/>
  <c r="H249" i="3"/>
  <c r="F249" i="3"/>
  <c r="AM248" i="3"/>
  <c r="AL248" i="3"/>
  <c r="AK248" i="3"/>
  <c r="AJ248" i="3"/>
  <c r="AG248" i="3"/>
  <c r="AF248" i="3"/>
  <c r="AE248" i="3"/>
  <c r="AD248" i="3"/>
  <c r="AC248" i="3"/>
  <c r="AB248" i="3"/>
  <c r="Z248" i="3"/>
  <c r="S248" i="3"/>
  <c r="R248" i="3"/>
  <c r="Q248" i="3"/>
  <c r="P248" i="3"/>
  <c r="M248" i="3"/>
  <c r="L248" i="3"/>
  <c r="K248" i="3"/>
  <c r="J248" i="3"/>
  <c r="I248" i="3"/>
  <c r="H248" i="3"/>
  <c r="F248" i="3"/>
  <c r="AM156" i="3"/>
  <c r="AL156" i="3"/>
  <c r="AK156" i="3"/>
  <c r="AJ156" i="3"/>
  <c r="AG156" i="3"/>
  <c r="AF156" i="3"/>
  <c r="AE156" i="3"/>
  <c r="AD156" i="3"/>
  <c r="AC156" i="3"/>
  <c r="AB156" i="3"/>
  <c r="Z156" i="3"/>
  <c r="S156" i="3"/>
  <c r="R156" i="3"/>
  <c r="Q156" i="3"/>
  <c r="P156" i="3"/>
  <c r="M156" i="3"/>
  <c r="L156" i="3"/>
  <c r="K156" i="3"/>
  <c r="J156" i="3"/>
  <c r="I156" i="3"/>
  <c r="H156" i="3"/>
  <c r="F156" i="3"/>
  <c r="AM155" i="3"/>
  <c r="AL155" i="3"/>
  <c r="AK155" i="3"/>
  <c r="AJ155" i="3"/>
  <c r="AG155" i="3"/>
  <c r="AF155" i="3"/>
  <c r="AE155" i="3"/>
  <c r="AD155" i="3"/>
  <c r="AC155" i="3"/>
  <c r="AB155" i="3"/>
  <c r="Z155" i="3"/>
  <c r="S155" i="3"/>
  <c r="R155" i="3"/>
  <c r="Q155" i="3"/>
  <c r="P155" i="3"/>
  <c r="M155" i="3"/>
  <c r="L155" i="3"/>
  <c r="K155" i="3"/>
  <c r="J155" i="3"/>
  <c r="I155" i="3"/>
  <c r="H155" i="3"/>
  <c r="F155" i="3"/>
  <c r="AM154" i="3"/>
  <c r="AL154" i="3"/>
  <c r="AK154" i="3"/>
  <c r="AJ154" i="3"/>
  <c r="AG154" i="3"/>
  <c r="AF154" i="3"/>
  <c r="AE154" i="3"/>
  <c r="AD154" i="3"/>
  <c r="AC154" i="3"/>
  <c r="AB154" i="3"/>
  <c r="Z154" i="3"/>
  <c r="S154" i="3"/>
  <c r="R154" i="3"/>
  <c r="Q154" i="3"/>
  <c r="P154" i="3"/>
  <c r="M154" i="3"/>
  <c r="L154" i="3"/>
  <c r="K154" i="3"/>
  <c r="J154" i="3"/>
  <c r="I154" i="3"/>
  <c r="H154" i="3"/>
  <c r="F154" i="3"/>
  <c r="AM153" i="3"/>
  <c r="AL153" i="3"/>
  <c r="AK153" i="3"/>
  <c r="AJ153" i="3"/>
  <c r="AG153" i="3"/>
  <c r="AF153" i="3"/>
  <c r="AE153" i="3"/>
  <c r="AD153" i="3"/>
  <c r="AC153" i="3"/>
  <c r="AB153" i="3"/>
  <c r="Z153" i="3"/>
  <c r="S153" i="3"/>
  <c r="R153" i="3"/>
  <c r="Q153" i="3"/>
  <c r="P153" i="3"/>
  <c r="M153" i="3"/>
  <c r="L153" i="3"/>
  <c r="K153" i="3"/>
  <c r="J153" i="3"/>
  <c r="I153" i="3"/>
  <c r="H153" i="3"/>
  <c r="F153" i="3"/>
  <c r="AM152" i="3"/>
  <c r="AL152" i="3"/>
  <c r="AK152" i="3"/>
  <c r="AJ152" i="3"/>
  <c r="AG152" i="3"/>
  <c r="AF152" i="3"/>
  <c r="AE152" i="3"/>
  <c r="AD152" i="3"/>
  <c r="AC152" i="3"/>
  <c r="AB152" i="3"/>
  <c r="Z152" i="3"/>
  <c r="S152" i="3"/>
  <c r="R152" i="3"/>
  <c r="Q152" i="3"/>
  <c r="P152" i="3"/>
  <c r="M152" i="3"/>
  <c r="L152" i="3"/>
  <c r="K152" i="3"/>
  <c r="J152" i="3"/>
  <c r="I152" i="3"/>
  <c r="H152" i="3"/>
  <c r="F152" i="3"/>
  <c r="AM151" i="3"/>
  <c r="AL151" i="3"/>
  <c r="AK151" i="3"/>
  <c r="AJ151" i="3"/>
  <c r="AG151" i="3"/>
  <c r="AF151" i="3"/>
  <c r="AE151" i="3"/>
  <c r="AD151" i="3"/>
  <c r="AC151" i="3"/>
  <c r="AB151" i="3"/>
  <c r="Z151" i="3"/>
  <c r="S151" i="3"/>
  <c r="R151" i="3"/>
  <c r="Q151" i="3"/>
  <c r="P151" i="3"/>
  <c r="M151" i="3"/>
  <c r="L151" i="3"/>
  <c r="K151" i="3"/>
  <c r="J151" i="3"/>
  <c r="I151" i="3"/>
  <c r="H151" i="3"/>
  <c r="F151" i="3"/>
  <c r="AM150" i="3"/>
  <c r="AL150" i="3"/>
  <c r="AK150" i="3"/>
  <c r="AJ150" i="3"/>
  <c r="AG150" i="3"/>
  <c r="AF150" i="3"/>
  <c r="AE150" i="3"/>
  <c r="AD150" i="3"/>
  <c r="AC150" i="3"/>
  <c r="AB150" i="3"/>
  <c r="Z150" i="3"/>
  <c r="S150" i="3"/>
  <c r="R150" i="3"/>
  <c r="Q150" i="3"/>
  <c r="P150" i="3"/>
  <c r="M150" i="3"/>
  <c r="L150" i="3"/>
  <c r="K150" i="3"/>
  <c r="J150" i="3"/>
  <c r="I150" i="3"/>
  <c r="H150" i="3"/>
  <c r="F150" i="3"/>
  <c r="AM149" i="3"/>
  <c r="AL149" i="3"/>
  <c r="AK149" i="3"/>
  <c r="AJ149" i="3"/>
  <c r="AG149" i="3"/>
  <c r="AF149" i="3"/>
  <c r="AE149" i="3"/>
  <c r="AD149" i="3"/>
  <c r="AC149" i="3"/>
  <c r="AB149" i="3"/>
  <c r="Z149" i="3"/>
  <c r="S149" i="3"/>
  <c r="R149" i="3"/>
  <c r="Q149" i="3"/>
  <c r="P149" i="3"/>
  <c r="M149" i="3"/>
  <c r="L149" i="3"/>
  <c r="K149" i="3"/>
  <c r="J149" i="3"/>
  <c r="I149" i="3"/>
  <c r="H149" i="3"/>
  <c r="F149" i="3"/>
  <c r="AM148" i="3"/>
  <c r="AL148" i="3"/>
  <c r="AK148" i="3"/>
  <c r="AJ148" i="3"/>
  <c r="AG148" i="3"/>
  <c r="AF148" i="3"/>
  <c r="AE148" i="3"/>
  <c r="AD148" i="3"/>
  <c r="AC148" i="3"/>
  <c r="AB148" i="3"/>
  <c r="Z148" i="3"/>
  <c r="S148" i="3"/>
  <c r="R148" i="3"/>
  <c r="Q148" i="3"/>
  <c r="P148" i="3"/>
  <c r="M148" i="3"/>
  <c r="L148" i="3"/>
  <c r="K148" i="3"/>
  <c r="J148" i="3"/>
  <c r="I148" i="3"/>
  <c r="H148" i="3"/>
  <c r="F148" i="3"/>
  <c r="AM24" i="3"/>
  <c r="AL24" i="3"/>
  <c r="AK24" i="3"/>
  <c r="AJ24" i="3"/>
  <c r="AG24" i="3"/>
  <c r="AF24" i="3"/>
  <c r="AE24" i="3"/>
  <c r="AD24" i="3"/>
  <c r="AC24" i="3"/>
  <c r="AB24" i="3"/>
  <c r="Z24" i="3"/>
  <c r="S24" i="3"/>
  <c r="R24" i="3"/>
  <c r="Q24" i="3"/>
  <c r="P24" i="3"/>
  <c r="M24" i="3"/>
  <c r="L24" i="3"/>
  <c r="K24" i="3"/>
  <c r="J24" i="3"/>
  <c r="I24" i="3"/>
  <c r="H24" i="3"/>
  <c r="F24" i="3"/>
  <c r="AM23" i="3"/>
  <c r="AL23" i="3"/>
  <c r="AK23" i="3"/>
  <c r="AJ23" i="3"/>
  <c r="AG23" i="3"/>
  <c r="AF23" i="3"/>
  <c r="AE23" i="3"/>
  <c r="AD23" i="3"/>
  <c r="AC23" i="3"/>
  <c r="AB23" i="3"/>
  <c r="Z23" i="3"/>
  <c r="S23" i="3"/>
  <c r="R23" i="3"/>
  <c r="Q23" i="3"/>
  <c r="P23" i="3"/>
  <c r="M23" i="3"/>
  <c r="L23" i="3"/>
  <c r="K23" i="3"/>
  <c r="J23" i="3"/>
  <c r="I23" i="3"/>
  <c r="H23" i="3"/>
  <c r="F23" i="3"/>
  <c r="AM22" i="3"/>
  <c r="AL22" i="3"/>
  <c r="AK22" i="3"/>
  <c r="AJ22" i="3"/>
  <c r="AG22" i="3"/>
  <c r="AF22" i="3"/>
  <c r="AE22" i="3"/>
  <c r="AD22" i="3"/>
  <c r="AC22" i="3"/>
  <c r="AB22" i="3"/>
  <c r="Z22" i="3"/>
  <c r="S22" i="3"/>
  <c r="R22" i="3"/>
  <c r="Q22" i="3"/>
  <c r="P22" i="3"/>
  <c r="M22" i="3"/>
  <c r="L22" i="3"/>
  <c r="K22" i="3"/>
  <c r="J22" i="3"/>
  <c r="I22" i="3"/>
  <c r="H22" i="3"/>
  <c r="F22" i="3"/>
  <c r="AM21" i="3"/>
  <c r="AL21" i="3"/>
  <c r="AK21" i="3"/>
  <c r="AJ21" i="3"/>
  <c r="AG21" i="3"/>
  <c r="AF21" i="3"/>
  <c r="AE21" i="3"/>
  <c r="AD21" i="3"/>
  <c r="AC21" i="3"/>
  <c r="AB21" i="3"/>
  <c r="Z21" i="3"/>
  <c r="S21" i="3"/>
  <c r="R21" i="3"/>
  <c r="Q21" i="3"/>
  <c r="P21" i="3"/>
  <c r="M21" i="3"/>
  <c r="L21" i="3"/>
  <c r="K21" i="3"/>
  <c r="J21" i="3"/>
  <c r="I21" i="3"/>
  <c r="H21" i="3"/>
  <c r="F21" i="3"/>
  <c r="AM20" i="3"/>
  <c r="AL20" i="3"/>
  <c r="AK20" i="3"/>
  <c r="AJ20" i="3"/>
  <c r="AG20" i="3"/>
  <c r="AF20" i="3"/>
  <c r="AE20" i="3"/>
  <c r="AD20" i="3"/>
  <c r="AC20" i="3"/>
  <c r="AB20" i="3"/>
  <c r="Z20" i="3"/>
  <c r="S20" i="3"/>
  <c r="R20" i="3"/>
  <c r="Q20" i="3"/>
  <c r="P20" i="3"/>
  <c r="M20" i="3"/>
  <c r="L20" i="3"/>
  <c r="K20" i="3"/>
  <c r="J20" i="3"/>
  <c r="I20" i="3"/>
  <c r="H20" i="3"/>
  <c r="F20" i="3"/>
  <c r="AM13" i="3"/>
  <c r="AL13" i="3"/>
  <c r="AK13" i="3"/>
  <c r="AJ13" i="3"/>
  <c r="AG13" i="3"/>
  <c r="AF13" i="3"/>
  <c r="AE13" i="3"/>
  <c r="AD13" i="3"/>
  <c r="AC13" i="3"/>
  <c r="AB13" i="3"/>
  <c r="Z13" i="3"/>
  <c r="S13" i="3"/>
  <c r="R13" i="3"/>
  <c r="Q13" i="3"/>
  <c r="P13" i="3"/>
  <c r="M13" i="3"/>
  <c r="L13" i="3"/>
  <c r="K13" i="3"/>
  <c r="J13" i="3"/>
  <c r="I13" i="3"/>
  <c r="H13" i="3"/>
  <c r="F13" i="3"/>
  <c r="AM12" i="3"/>
  <c r="AL12" i="3"/>
  <c r="AK12" i="3"/>
  <c r="AJ12" i="3"/>
  <c r="AG12" i="3"/>
  <c r="AF12" i="3"/>
  <c r="AE12" i="3"/>
  <c r="AD12" i="3"/>
  <c r="AC12" i="3"/>
  <c r="AB12" i="3"/>
  <c r="Z12" i="3"/>
  <c r="S12" i="3"/>
  <c r="R12" i="3"/>
  <c r="Q12" i="3"/>
  <c r="P12" i="3"/>
  <c r="M12" i="3"/>
  <c r="L12" i="3"/>
  <c r="K12" i="3"/>
  <c r="J12" i="3"/>
  <c r="I12" i="3"/>
  <c r="H12" i="3"/>
  <c r="F12" i="3"/>
  <c r="AM11" i="3"/>
  <c r="AL11" i="3"/>
  <c r="AK11" i="3"/>
  <c r="AJ11" i="3"/>
  <c r="AG11" i="3"/>
  <c r="AF11" i="3"/>
  <c r="AE11" i="3"/>
  <c r="AD11" i="3"/>
  <c r="AC11" i="3"/>
  <c r="AB11" i="3"/>
  <c r="Z11" i="3"/>
  <c r="S11" i="3"/>
  <c r="R11" i="3"/>
  <c r="Q11" i="3"/>
  <c r="P11" i="3"/>
  <c r="M11" i="3"/>
  <c r="L11" i="3"/>
  <c r="K11" i="3"/>
  <c r="J11" i="3"/>
  <c r="I11" i="3"/>
  <c r="H11" i="3"/>
  <c r="F11" i="3"/>
  <c r="AM10" i="3"/>
  <c r="AL10" i="3"/>
  <c r="AK10" i="3"/>
  <c r="AJ10" i="3"/>
  <c r="AG10" i="3"/>
  <c r="AF10" i="3"/>
  <c r="AE10" i="3"/>
  <c r="AD10" i="3"/>
  <c r="AC10" i="3"/>
  <c r="AB10" i="3"/>
  <c r="Z10" i="3"/>
  <c r="S10" i="3"/>
  <c r="R10" i="3"/>
  <c r="Q10" i="3"/>
  <c r="P10" i="3"/>
  <c r="M10" i="3"/>
  <c r="L10" i="3"/>
  <c r="K10" i="3"/>
  <c r="J10" i="3"/>
  <c r="I10" i="3"/>
  <c r="H10" i="3"/>
  <c r="F10" i="3"/>
  <c r="AM9" i="3"/>
  <c r="AL9" i="3"/>
  <c r="AK9" i="3"/>
  <c r="AJ9" i="3"/>
  <c r="AG9" i="3"/>
  <c r="AF9" i="3"/>
  <c r="AE9" i="3"/>
  <c r="AD9" i="3"/>
  <c r="AC9" i="3"/>
  <c r="AB9" i="3"/>
  <c r="Z9" i="3"/>
  <c r="S9" i="3"/>
  <c r="R9" i="3"/>
  <c r="Q9" i="3"/>
  <c r="P9" i="3"/>
  <c r="M9" i="3"/>
  <c r="L9" i="3"/>
  <c r="K9" i="3"/>
  <c r="J9" i="3"/>
  <c r="I9" i="3"/>
  <c r="H9" i="3"/>
  <c r="F9" i="3"/>
  <c r="AM8" i="3"/>
  <c r="AL8" i="3"/>
  <c r="AK8" i="3"/>
  <c r="AJ8" i="3"/>
  <c r="AG8" i="3"/>
  <c r="AF8" i="3"/>
  <c r="AE8" i="3"/>
  <c r="AD8" i="3"/>
  <c r="AC8" i="3"/>
  <c r="AB8" i="3"/>
  <c r="Z8" i="3"/>
  <c r="S8" i="3"/>
  <c r="R8" i="3"/>
  <c r="Q8" i="3"/>
  <c r="P8" i="3"/>
  <c r="M8" i="3"/>
  <c r="L8" i="3"/>
  <c r="K8" i="3"/>
  <c r="J8" i="3"/>
  <c r="I8" i="3"/>
  <c r="H8" i="3"/>
  <c r="F8" i="3"/>
  <c r="AE362" i="6"/>
  <c r="AD362" i="6"/>
  <c r="AA362" i="6"/>
  <c r="Z362" i="6"/>
  <c r="Y362" i="6"/>
  <c r="X362" i="6"/>
  <c r="V362" i="6"/>
  <c r="O362" i="6"/>
  <c r="N362" i="6"/>
  <c r="K362" i="6"/>
  <c r="J362" i="6"/>
  <c r="I362" i="6"/>
  <c r="H362" i="6"/>
  <c r="F362" i="6"/>
  <c r="AE361" i="6"/>
  <c r="AD361" i="6"/>
  <c r="AA361" i="6"/>
  <c r="Z361" i="6"/>
  <c r="Y361" i="6"/>
  <c r="X361" i="6"/>
  <c r="V361" i="6"/>
  <c r="O361" i="6"/>
  <c r="N361" i="6"/>
  <c r="K361" i="6"/>
  <c r="J361" i="6"/>
  <c r="I361" i="6"/>
  <c r="H361" i="6"/>
  <c r="F361" i="6"/>
  <c r="AE360" i="6"/>
  <c r="AD360" i="6"/>
  <c r="AA360" i="6"/>
  <c r="Z360" i="6"/>
  <c r="Y360" i="6"/>
  <c r="X360" i="6"/>
  <c r="V360" i="6"/>
  <c r="O360" i="6"/>
  <c r="N360" i="6"/>
  <c r="K360" i="6"/>
  <c r="J360" i="6"/>
  <c r="I360" i="6"/>
  <c r="H360" i="6"/>
  <c r="F360" i="6"/>
  <c r="AE359" i="6"/>
  <c r="AD359" i="6"/>
  <c r="AA359" i="6"/>
  <c r="Z359" i="6"/>
  <c r="Y359" i="6"/>
  <c r="X359" i="6"/>
  <c r="V359" i="6"/>
  <c r="O359" i="6"/>
  <c r="N359" i="6"/>
  <c r="K359" i="6"/>
  <c r="J359" i="6"/>
  <c r="I359" i="6"/>
  <c r="H359" i="6"/>
  <c r="F359" i="6"/>
  <c r="AE281" i="6"/>
  <c r="AD281" i="6"/>
  <c r="AA281" i="6"/>
  <c r="Z281" i="6"/>
  <c r="Y281" i="6"/>
  <c r="X281" i="6"/>
  <c r="V281" i="6"/>
  <c r="O281" i="6"/>
  <c r="N281" i="6"/>
  <c r="K281" i="6"/>
  <c r="J281" i="6"/>
  <c r="I281" i="6"/>
  <c r="H281" i="6"/>
  <c r="F281" i="6"/>
  <c r="AE280" i="6"/>
  <c r="AD280" i="6"/>
  <c r="AA280" i="6"/>
  <c r="Z280" i="6"/>
  <c r="Y280" i="6"/>
  <c r="X280" i="6"/>
  <c r="V280" i="6"/>
  <c r="O280" i="6"/>
  <c r="N280" i="6"/>
  <c r="K280" i="6"/>
  <c r="J280" i="6"/>
  <c r="I280" i="6"/>
  <c r="H280" i="6"/>
  <c r="F280" i="6"/>
  <c r="AE279" i="6"/>
  <c r="AD279" i="6"/>
  <c r="AA279" i="6"/>
  <c r="Z279" i="6"/>
  <c r="Y279" i="6"/>
  <c r="X279" i="6"/>
  <c r="V279" i="6"/>
  <c r="O279" i="6"/>
  <c r="N279" i="6"/>
  <c r="K279" i="6"/>
  <c r="J279" i="6"/>
  <c r="I279" i="6"/>
  <c r="H279" i="6"/>
  <c r="F279" i="6"/>
  <c r="AE278" i="6"/>
  <c r="AD278" i="6"/>
  <c r="AA278" i="6"/>
  <c r="Z278" i="6"/>
  <c r="Y278" i="6"/>
  <c r="X278" i="6"/>
  <c r="V278" i="6"/>
  <c r="O278" i="6"/>
  <c r="N278" i="6"/>
  <c r="K278" i="6"/>
  <c r="J278" i="6"/>
  <c r="I278" i="6"/>
  <c r="H278" i="6"/>
  <c r="F278" i="6"/>
  <c r="AE277" i="6"/>
  <c r="AD277" i="6"/>
  <c r="AA277" i="6"/>
  <c r="Z277" i="6"/>
  <c r="Y277" i="6"/>
  <c r="X277" i="6"/>
  <c r="V277" i="6"/>
  <c r="O277" i="6"/>
  <c r="N277" i="6"/>
  <c r="K277" i="6"/>
  <c r="J277" i="6"/>
  <c r="I277" i="6"/>
  <c r="H277" i="6"/>
  <c r="F277" i="6"/>
  <c r="AE276" i="6"/>
  <c r="AD276" i="6"/>
  <c r="AA276" i="6"/>
  <c r="Z276" i="6"/>
  <c r="Y276" i="6"/>
  <c r="X276" i="6"/>
  <c r="V276" i="6"/>
  <c r="O276" i="6"/>
  <c r="N276" i="6"/>
  <c r="K276" i="6"/>
  <c r="J276" i="6"/>
  <c r="I276" i="6"/>
  <c r="H276" i="6"/>
  <c r="F276" i="6"/>
  <c r="AE129" i="6"/>
  <c r="AD129" i="6"/>
  <c r="AA129" i="6"/>
  <c r="Z129" i="6"/>
  <c r="O129" i="6"/>
  <c r="N129" i="6"/>
  <c r="K129" i="6"/>
  <c r="J129" i="6"/>
  <c r="AE128" i="6"/>
  <c r="AD128" i="6"/>
  <c r="AA128" i="6"/>
  <c r="Z128" i="6"/>
  <c r="Y128" i="6"/>
  <c r="X128" i="6"/>
  <c r="V128" i="6"/>
  <c r="O128" i="6"/>
  <c r="N128" i="6"/>
  <c r="K128" i="6"/>
  <c r="J128" i="6"/>
  <c r="I128" i="6"/>
  <c r="H128" i="6"/>
  <c r="F128" i="6"/>
  <c r="AE127" i="6"/>
  <c r="AD127" i="6"/>
  <c r="AA127" i="6"/>
  <c r="Z127" i="6"/>
  <c r="Y127" i="6"/>
  <c r="X127" i="6"/>
  <c r="V127" i="6"/>
  <c r="O127" i="6"/>
  <c r="N127" i="6"/>
  <c r="K127" i="6"/>
  <c r="J127" i="6"/>
  <c r="I127" i="6"/>
  <c r="H127" i="6"/>
  <c r="F127" i="6"/>
  <c r="AE126" i="6"/>
  <c r="AD126" i="6"/>
  <c r="AA126" i="6"/>
  <c r="Z126" i="6"/>
  <c r="Y126" i="6"/>
  <c r="X126" i="6"/>
  <c r="V126" i="6"/>
  <c r="O126" i="6"/>
  <c r="N126" i="6"/>
  <c r="K126" i="6"/>
  <c r="J126" i="6"/>
  <c r="I126" i="6"/>
  <c r="H126" i="6"/>
  <c r="F126" i="6"/>
  <c r="AE125" i="6"/>
  <c r="AD125" i="6"/>
  <c r="AA125" i="6"/>
  <c r="Z125" i="6"/>
  <c r="Y125" i="6"/>
  <c r="X125" i="6"/>
  <c r="V125" i="6"/>
  <c r="O125" i="6"/>
  <c r="N125" i="6"/>
  <c r="K125" i="6"/>
  <c r="J125" i="6"/>
  <c r="I125" i="6"/>
  <c r="H125" i="6"/>
  <c r="F125" i="6"/>
  <c r="AE124" i="6"/>
  <c r="AD124" i="6"/>
  <c r="AA124" i="6"/>
  <c r="Z124" i="6"/>
  <c r="Y124" i="6"/>
  <c r="X124" i="6"/>
  <c r="V124" i="6"/>
  <c r="O124" i="6"/>
  <c r="N124" i="6"/>
  <c r="K124" i="6"/>
  <c r="J124" i="6"/>
  <c r="I124" i="6"/>
  <c r="H124" i="6"/>
  <c r="F124" i="6"/>
  <c r="AE123" i="6"/>
  <c r="AD123" i="6"/>
  <c r="AA123" i="6"/>
  <c r="Z123" i="6"/>
  <c r="Y123" i="6"/>
  <c r="X123" i="6"/>
  <c r="V123" i="6"/>
  <c r="O123" i="6"/>
  <c r="N123" i="6"/>
  <c r="K123" i="6"/>
  <c r="J123" i="6"/>
  <c r="I123" i="6"/>
  <c r="H123" i="6"/>
  <c r="F123" i="6"/>
  <c r="AE122" i="6"/>
  <c r="AD122" i="6"/>
  <c r="AA122" i="6"/>
  <c r="Z122" i="6"/>
  <c r="Y122" i="6"/>
  <c r="X122" i="6"/>
  <c r="V122" i="6"/>
  <c r="O122" i="6"/>
  <c r="N122" i="6"/>
  <c r="K122" i="6"/>
  <c r="J122" i="6"/>
  <c r="I122" i="6"/>
  <c r="H122" i="6"/>
  <c r="F122" i="6"/>
  <c r="AE121" i="6"/>
  <c r="AD121" i="6"/>
  <c r="AA121" i="6"/>
  <c r="Z121" i="6"/>
  <c r="Y121" i="6"/>
  <c r="X121" i="6"/>
  <c r="V121" i="6"/>
  <c r="O121" i="6"/>
  <c r="N121" i="6"/>
  <c r="K121" i="6"/>
  <c r="J121" i="6"/>
  <c r="I121" i="6"/>
  <c r="H121" i="6"/>
  <c r="F121" i="6"/>
  <c r="AE120" i="6"/>
  <c r="AD120" i="6"/>
  <c r="AA120" i="6"/>
  <c r="Z120" i="6"/>
  <c r="Y120" i="6"/>
  <c r="X120" i="6"/>
  <c r="V120" i="6"/>
  <c r="O120" i="6"/>
  <c r="N120" i="6"/>
  <c r="K120" i="6"/>
  <c r="J120" i="6"/>
  <c r="I120" i="6"/>
  <c r="H120" i="6"/>
  <c r="F120" i="6"/>
  <c r="AE14" i="6"/>
  <c r="AD14" i="6"/>
  <c r="AA14" i="6"/>
  <c r="Z14" i="6"/>
  <c r="Y14" i="6"/>
  <c r="X14" i="6"/>
  <c r="V14" i="6"/>
  <c r="O14" i="6"/>
  <c r="N14" i="6"/>
  <c r="K14" i="6"/>
  <c r="J14" i="6"/>
  <c r="I14" i="6"/>
  <c r="H14" i="6"/>
  <c r="F14" i="6"/>
  <c r="AE13" i="6"/>
  <c r="AD13" i="6"/>
  <c r="AA13" i="6"/>
  <c r="Z13" i="6"/>
  <c r="Y13" i="6"/>
  <c r="X13" i="6"/>
  <c r="V13" i="6"/>
  <c r="O13" i="6"/>
  <c r="N13" i="6"/>
  <c r="K13" i="6"/>
  <c r="J13" i="6"/>
  <c r="I13" i="6"/>
  <c r="H13" i="6"/>
  <c r="F13" i="6"/>
  <c r="AE12" i="6"/>
  <c r="AD12" i="6"/>
  <c r="AA12" i="6"/>
  <c r="Z12" i="6"/>
  <c r="Y12" i="6"/>
  <c r="X12" i="6"/>
  <c r="V12" i="6"/>
  <c r="O12" i="6"/>
  <c r="N12" i="6"/>
  <c r="K12" i="6"/>
  <c r="J12" i="6"/>
  <c r="I12" i="6"/>
  <c r="H12" i="6"/>
  <c r="F12" i="6"/>
  <c r="AE11" i="6"/>
  <c r="AD11" i="6"/>
  <c r="AA11" i="6"/>
  <c r="Z11" i="6"/>
  <c r="Y11" i="6"/>
  <c r="X11" i="6"/>
  <c r="V11" i="6"/>
  <c r="O11" i="6"/>
  <c r="N11" i="6"/>
  <c r="K11" i="6"/>
  <c r="J11" i="6"/>
  <c r="I11" i="6"/>
  <c r="H11" i="6"/>
  <c r="F11" i="6"/>
  <c r="AE10" i="6"/>
  <c r="AD10" i="6"/>
  <c r="AA10" i="6"/>
  <c r="Z10" i="6"/>
  <c r="O10" i="6"/>
  <c r="N10" i="6"/>
  <c r="K10" i="6"/>
  <c r="J10" i="6"/>
  <c r="AE9" i="6"/>
  <c r="AD9" i="6"/>
  <c r="AA9" i="6"/>
  <c r="Z9" i="6"/>
  <c r="Y9" i="6"/>
  <c r="X9" i="6"/>
  <c r="V9" i="6"/>
  <c r="O9" i="6"/>
  <c r="N9" i="6"/>
  <c r="K9" i="6"/>
  <c r="J9" i="6"/>
  <c r="I9" i="6"/>
  <c r="H9" i="6"/>
  <c r="F9" i="6"/>
  <c r="W359" i="6" l="1"/>
  <c r="G359" i="6" s="1"/>
  <c r="AA254" i="3"/>
  <c r="AA834" i="3"/>
  <c r="W361" i="6"/>
  <c r="G365" i="3"/>
  <c r="G364" i="3"/>
  <c r="G155" i="3"/>
  <c r="G249" i="3"/>
  <c r="AA249" i="3"/>
  <c r="G835" i="3"/>
  <c r="AA248" i="3"/>
  <c r="AA256" i="3"/>
  <c r="G254" i="3"/>
  <c r="G834" i="3"/>
  <c r="AA251" i="3"/>
  <c r="AA255" i="3"/>
  <c r="AA156" i="3"/>
  <c r="AA835" i="3"/>
  <c r="G120" i="6"/>
  <c r="W120" i="6"/>
  <c r="G124" i="6"/>
  <c r="W124" i="6"/>
  <c r="W279" i="6"/>
  <c r="G279" i="6"/>
  <c r="G360" i="6"/>
  <c r="G9" i="3"/>
  <c r="AA9" i="3"/>
  <c r="AA23" i="3"/>
  <c r="G23" i="3"/>
  <c r="G154" i="3"/>
  <c r="G256" i="3"/>
  <c r="AA253" i="3" s="1"/>
  <c r="G253" i="3" s="1"/>
  <c r="G250" i="3" s="1"/>
  <c r="G362" i="6" s="1"/>
  <c r="G469" i="3"/>
  <c r="AA469" i="3"/>
  <c r="G490" i="3"/>
  <c r="AA490" i="3"/>
  <c r="G626" i="3"/>
  <c r="AA626" i="3"/>
  <c r="G729" i="3"/>
  <c r="AA729" i="3"/>
  <c r="G123" i="6"/>
  <c r="W123" i="6"/>
  <c r="W127" i="6"/>
  <c r="G127" i="6"/>
  <c r="AA8" i="3"/>
  <c r="G8" i="3"/>
  <c r="G12" i="3"/>
  <c r="AA12" i="3"/>
  <c r="AA22" i="3"/>
  <c r="G22" i="3"/>
  <c r="AA250" i="3"/>
  <c r="G248" i="3" s="1"/>
  <c r="G156" i="3" s="1"/>
  <c r="AA155" i="3" s="1"/>
  <c r="AA154" i="3" s="1"/>
  <c r="AA153" i="3" s="1"/>
  <c r="G153" i="3" s="1"/>
  <c r="AA152" i="3" s="1"/>
  <c r="G152" i="3" s="1"/>
  <c r="AA151" i="3" s="1"/>
  <c r="G151" i="3" s="1"/>
  <c r="G150" i="3" s="1"/>
  <c r="AA149" i="3" s="1"/>
  <c r="G149" i="3" s="1"/>
  <c r="AA148" i="3" s="1"/>
  <c r="G148" i="3" s="1"/>
  <c r="G20" i="3" s="1"/>
  <c r="W278" i="6" s="1"/>
  <c r="G468" i="3"/>
  <c r="AA468" i="3"/>
  <c r="AA472" i="3"/>
  <c r="G472" i="3"/>
  <c r="AA489" i="3"/>
  <c r="G489" i="3"/>
  <c r="G625" i="3"/>
  <c r="AA625" i="3"/>
  <c r="G732" i="3"/>
  <c r="AA732" i="3"/>
  <c r="G278" i="6" s="1"/>
  <c r="W362" i="6"/>
  <c r="AA366" i="3"/>
  <c r="AA364" i="3" s="1"/>
  <c r="AA363" i="3" s="1"/>
  <c r="G363" i="3" s="1"/>
  <c r="G255" i="3" s="1"/>
  <c r="G251" i="3" s="1"/>
  <c r="W13" i="6" s="1"/>
  <c r="G13" i="6" s="1"/>
  <c r="G12" i="6" s="1"/>
  <c r="G11" i="6" s="1"/>
  <c r="W12" i="6" s="1"/>
  <c r="W11" i="6" s="1"/>
  <c r="W9" i="6" s="1"/>
  <c r="W14" i="6" s="1"/>
  <c r="G9" i="6" s="1"/>
  <c r="G14" i="6" s="1"/>
  <c r="W122" i="6"/>
  <c r="G122" i="6"/>
  <c r="G126" i="6"/>
  <c r="W126" i="6"/>
  <c r="G277" i="6"/>
  <c r="W277" i="6"/>
  <c r="AA11" i="3"/>
  <c r="G11" i="3"/>
  <c r="G21" i="3"/>
  <c r="AA21" i="3"/>
  <c r="G467" i="3"/>
  <c r="AA467" i="3"/>
  <c r="AA471" i="3"/>
  <c r="G471" i="3"/>
  <c r="AA365" i="3" s="1"/>
  <c r="G488" i="3"/>
  <c r="AA488" i="3"/>
  <c r="AA624" i="3"/>
  <c r="G624" i="3"/>
  <c r="AA628" i="3"/>
  <c r="G628" i="3"/>
  <c r="AA731" i="3"/>
  <c r="G731" i="3"/>
  <c r="G361" i="6"/>
  <c r="W360" i="6" s="1"/>
  <c r="G121" i="6"/>
  <c r="W121" i="6"/>
  <c r="W125" i="6"/>
  <c r="G125" i="6"/>
  <c r="W276" i="6"/>
  <c r="G276" i="6"/>
  <c r="W280" i="6"/>
  <c r="G280" i="6"/>
  <c r="G10" i="3"/>
  <c r="AA10" i="3"/>
  <c r="AA20" i="3" s="1"/>
  <c r="G24" i="3"/>
  <c r="AA24" i="3"/>
  <c r="G466" i="3"/>
  <c r="AA466" i="3"/>
  <c r="AA470" i="3"/>
  <c r="G470" i="3"/>
  <c r="AA487" i="3"/>
  <c r="AA150" i="3" s="1"/>
  <c r="G487" i="3"/>
  <c r="G627" i="3"/>
  <c r="AA627" i="3"/>
  <c r="G730" i="3"/>
  <c r="AA730" i="3"/>
  <c r="AA836" i="3" l="1"/>
  <c r="G836" i="3"/>
  <c r="G473" i="3"/>
  <c r="AA629" i="3"/>
  <c r="AA252" i="3" s="1"/>
  <c r="G733" i="3"/>
  <c r="AA733" i="3"/>
  <c r="W128" i="6"/>
  <c r="G491" i="3"/>
  <c r="AA491" i="3"/>
  <c r="G13" i="3"/>
  <c r="AA13" i="3"/>
  <c r="AA473" i="3"/>
  <c r="G281" i="6"/>
  <c r="G128" i="6"/>
  <c r="W281" i="6"/>
  <c r="G62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Chanee Jónsdóttir Thianthong - UOS</author>
  </authors>
  <commentList>
    <comment ref="AW1" authorId="0" shapeId="0" xr:uid="{79F4EA79-DC91-412A-8A61-B51C417D989B}">
      <text>
        <r>
          <rPr>
            <b/>
            <sz val="9"/>
            <color indexed="81"/>
            <rFont val="Tahoma"/>
            <family val="2"/>
          </rPr>
          <t xml:space="preserve">Árið 2030 er sérmerkt, hvað gerist árið 2030?
</t>
        </r>
        <r>
          <rPr>
            <sz val="9"/>
            <color indexed="81"/>
            <rFont val="Tahoma"/>
            <family val="2"/>
          </rPr>
          <t>Markmið Íslands í loftslagsmálum eru meðal annars miðuð við árið 2030.
Í skuldbindingum Íslands gagnvart ESB er krafa um samdrátt í samfélagslosun. Núgildandi krafa er 29% samdráttur árið 2030 miðað við árið 2005. Líklega mun þessi krafa hækka upp í 41%.</t>
        </r>
      </text>
    </comment>
    <comment ref="BB1" authorId="0" shapeId="0" xr:uid="{85BA9BDA-20F4-4449-B195-F26A4E61E2EC}">
      <text>
        <r>
          <rPr>
            <b/>
            <sz val="9"/>
            <color indexed="81"/>
            <rFont val="Tahoma"/>
            <family val="2"/>
          </rPr>
          <t xml:space="preserve">Árið 2035 er sérmerkt, hvað gerist árið 2035?
</t>
        </r>
        <r>
          <rPr>
            <sz val="9"/>
            <color indexed="81"/>
            <rFont val="Tahoma"/>
            <family val="2"/>
          </rPr>
          <t xml:space="preserve">Markmið Íslands í samfélagslosun eru einnig miðuð við árið 2035.
Samkvæmt landsákvörðuðu framlagi Íslands (NDC) er stefnt að 50–55% samdrætti í samfélagslosun frá losunarstigi ársins 2005.
</t>
        </r>
      </text>
    </comment>
    <comment ref="BV1" authorId="0" shapeId="0" xr:uid="{B7219DEF-7CB0-4E6B-82FD-28E27BE9E294}">
      <text>
        <r>
          <rPr>
            <b/>
            <sz val="9"/>
            <color indexed="81"/>
            <rFont val="Tahoma"/>
            <family val="2"/>
          </rPr>
          <t xml:space="preserve">Árið 2035 er sérmerkt, hvað gerist árið 2035?
</t>
        </r>
        <r>
          <rPr>
            <sz val="9"/>
            <color indexed="81"/>
            <rFont val="Tahoma"/>
            <family val="2"/>
          </rPr>
          <t xml:space="preserve">Markmið Íslands í samfélagslosun eru einnig miðuð við árið 2035.
Samkvæmt landsákvörðuðu framlagi Íslands (NDC) er stefnt að 50–55% samdrætti í samfélagslosun frá losunarstigi ársins 2005.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<sst xmlns="http://schemas.openxmlformats.org/spreadsheetml/2006/main" count="2222" uniqueCount="476">
  <si>
    <t>Upplýsingar um skjalið</t>
  </si>
  <si>
    <t>Úrgangur</t>
  </si>
  <si>
    <t>Landbúnaður</t>
  </si>
  <si>
    <t>Orka</t>
  </si>
  <si>
    <t>%</t>
  </si>
  <si>
    <t>Fiskiskip</t>
  </si>
  <si>
    <t>Vegasamgöngur</t>
  </si>
  <si>
    <t>Innanlandsflug</t>
  </si>
  <si>
    <t>Strandsiglingar</t>
  </si>
  <si>
    <t>Vélar og tæki</t>
  </si>
  <si>
    <t>Jarðvarmavirkjanir</t>
  </si>
  <si>
    <t>Annað</t>
  </si>
  <si>
    <t>Samtals</t>
  </si>
  <si>
    <t>ORKA</t>
  </si>
  <si>
    <t>ÚRGANGUR</t>
  </si>
  <si>
    <t>Álframleiðsla</t>
  </si>
  <si>
    <t>F-gös (m.a. kælimiðlar)</t>
  </si>
  <si>
    <t>Iðragerjun</t>
  </si>
  <si>
    <t>Meðhöndlun húsdýraáburðar</t>
  </si>
  <si>
    <t>Nytjajarðvegur</t>
  </si>
  <si>
    <t>Nautgripir</t>
  </si>
  <si>
    <t>Sauðfé</t>
  </si>
  <si>
    <t>Hestar</t>
  </si>
  <si>
    <t>Önnur losun</t>
  </si>
  <si>
    <t>Urðun úrgangs</t>
  </si>
  <si>
    <t>Jarðgerð</t>
  </si>
  <si>
    <t>Brennsla og opinn bruni</t>
  </si>
  <si>
    <t>Meðhöndlun skólps</t>
  </si>
  <si>
    <t>Mólendi</t>
  </si>
  <si>
    <t>Votlendi</t>
  </si>
  <si>
    <t>Alþjóðaflug</t>
  </si>
  <si>
    <t>Alþjóðasiglingar</t>
  </si>
  <si>
    <t>Kælibúnaður (F-gös)</t>
  </si>
  <si>
    <t>JCD 29/2022</t>
  </si>
  <si>
    <t>Eldsneytisbruni, staðbundinn iðnaður</t>
  </si>
  <si>
    <t>Kísil- og kísilmálmframleiðsla</t>
  </si>
  <si>
    <t>Losunarúthlutanir*</t>
  </si>
  <si>
    <t>LANDBÚNAÐUR</t>
  </si>
  <si>
    <t>1. Energykt CO2-eq</t>
  </si>
  <si>
    <t>2. Industrial processes and product usekt CO2-eq</t>
  </si>
  <si>
    <t>3. Agriculturekt CO2-eq</t>
  </si>
  <si>
    <t>4. LULUCFkt CO2-eq</t>
  </si>
  <si>
    <t>5. Wastekt CO2-eq</t>
  </si>
  <si>
    <t>National Total, with LULUCFkt CO2-eq</t>
  </si>
  <si>
    <t xml:space="preserve"> </t>
  </si>
  <si>
    <t>National Total, without LULUCFkt CO2-eq</t>
  </si>
  <si>
    <t>1.A.4.c.iii Agriculture/Forestry/Fishing - Fishing kt CO2-eq</t>
  </si>
  <si>
    <t>1.A.3.b Road transportationkt CO2-eq</t>
  </si>
  <si>
    <t>1.A.3.a Domestic aviationkt CO2-eq</t>
  </si>
  <si>
    <t>1.A.3.dDomestic navigationkt CO2-eq</t>
  </si>
  <si>
    <t>1.A.2.g.vii Off road vehicles and other machinerykt CO2-eq</t>
  </si>
  <si>
    <t>1.B.2.d Geothermal Energykt CO2-eq</t>
  </si>
  <si>
    <t>2.A Mineral Industrykt CO2-eq</t>
  </si>
  <si>
    <t>2.B Chemical Industrykt CO2-eq</t>
  </si>
  <si>
    <t>2.C.3 Aluminium productionkt CO2-eq</t>
  </si>
  <si>
    <t>2.D non-energy products from fuels and solvent usekt CO2-eq</t>
  </si>
  <si>
    <t>2.F Product uses as substitutes for ODSkt CO2-eq</t>
  </si>
  <si>
    <t>2.G Other product manufacture and usekt CO2-eq</t>
  </si>
  <si>
    <t>3.A Enteric fermentationkt CO2-eq</t>
  </si>
  <si>
    <t>3.B Manure managmentkt CO2-eq</t>
  </si>
  <si>
    <t>3.D Agricultural soilskt CO2-eq</t>
  </si>
  <si>
    <t>3.G Limingkt CO2-eq</t>
  </si>
  <si>
    <t>3.A.1 Cattlekt CO2-eq</t>
  </si>
  <si>
    <t>3.A.2 Sheepkt CO2-eq</t>
  </si>
  <si>
    <t>5.A Solid waste disposalkt CO2-eq</t>
  </si>
  <si>
    <t>5.B Biological treatment of solid wastekt CO2-eq</t>
  </si>
  <si>
    <t>5.C Incineration and open burning of wastekt CO2-eq</t>
  </si>
  <si>
    <t>5.D Wastewater handlingkt CO2-eq</t>
  </si>
  <si>
    <t>4.A Forest Landkt CO2-eq</t>
  </si>
  <si>
    <t>4.B Croplandkt CO2-eq</t>
  </si>
  <si>
    <t>4.C Grasslandkt CO2-eq</t>
  </si>
  <si>
    <t>4.D Wetlandskt CO2-eq</t>
  </si>
  <si>
    <t>1.D.1.a International Aviationkt CO2-eq</t>
  </si>
  <si>
    <t>1.D.1.b International Navigation kt CO2-eq</t>
  </si>
  <si>
    <t>1.A.3.e.ii Other (please specify) kt CO2-eq</t>
  </si>
  <si>
    <t>1.A.4.c.ii Agriculture/Forestry/Fishing - Off-road vehicles and other machinerykt CO2-eq</t>
  </si>
  <si>
    <t>3.H Urea applicationkt CO2-eq</t>
  </si>
  <si>
    <t>3.I Other carbon-containing fertilizerskt CO2-eq</t>
  </si>
  <si>
    <t>ETS TotalGHGskt CO2eq</t>
  </si>
  <si>
    <t>1A3aiiCO2Gg CO2 eq</t>
  </si>
  <si>
    <t>ETS Energy EmissionsGHGskt CO2eq</t>
  </si>
  <si>
    <t>Mobile Machinery</t>
  </si>
  <si>
    <t>ESD Other</t>
  </si>
  <si>
    <t>JCD2005</t>
  </si>
  <si>
    <t>Skógar</t>
  </si>
  <si>
    <t>LULUCF Annað</t>
  </si>
  <si>
    <t>National Total, without LULUCF OTHER kt CO2-eq</t>
  </si>
  <si>
    <t>1. Energy OTHER kt CO2-eq</t>
  </si>
  <si>
    <t>Fuel combustion in stationary industry kt CO2e</t>
  </si>
  <si>
    <t>2 IPPU OTHER kt CO2e</t>
  </si>
  <si>
    <t>Liming and CO2 from fertilizers kt CO2e</t>
  </si>
  <si>
    <t>Cattle kt CO2e</t>
  </si>
  <si>
    <t>Sheep kt CO2e</t>
  </si>
  <si>
    <t>Horses kt CO2e</t>
  </si>
  <si>
    <t>Agriculture Other kt CO2e</t>
  </si>
  <si>
    <t>MARKMIÐ OG SKULDBINDINGAR</t>
  </si>
  <si>
    <t>LOSUN GRÓÐURHÚSALOFTTEGUNDA INNAN SAMFÉLAGSLOSUNAR</t>
  </si>
  <si>
    <t>LOSUN GRÓÐURHÚSALOFTTEGUNDA Á ÍSLANDI</t>
  </si>
  <si>
    <t>ESR EmissionsGHGskt CO2eq</t>
  </si>
  <si>
    <t xml:space="preserve">   þar af þvagefni</t>
  </si>
  <si>
    <t xml:space="preserve">   þar af kölkun</t>
  </si>
  <si>
    <t xml:space="preserve">   þar af annar áburður sem inniheldur kolefni</t>
  </si>
  <si>
    <t xml:space="preserve">   í byggingariðnaði</t>
  </si>
  <si>
    <t xml:space="preserve">   í landbúnaði</t>
  </si>
  <si>
    <t xml:space="preserve">   Annað</t>
  </si>
  <si>
    <t xml:space="preserve">   þar af iðragerjun</t>
  </si>
  <si>
    <t xml:space="preserve">   þar af metan vegna meðhöndlun húsdýraáburðar</t>
  </si>
  <si>
    <t xml:space="preserve">   þar af glaðloft vegna meðhöndlun húsdýraáburðar</t>
  </si>
  <si>
    <t>Ræktað land</t>
  </si>
  <si>
    <t>Domestic Aviation (CO₂)</t>
  </si>
  <si>
    <t>Energy</t>
  </si>
  <si>
    <t>Agriculture</t>
  </si>
  <si>
    <t>Waste</t>
  </si>
  <si>
    <t>ETS staðbundinn iðnaður</t>
  </si>
  <si>
    <t>Samfélagslosun</t>
  </si>
  <si>
    <t>ESR</t>
  </si>
  <si>
    <t>LULUCF</t>
  </si>
  <si>
    <t>Samtals | Total</t>
  </si>
  <si>
    <t>Fishing</t>
  </si>
  <si>
    <t>F-Gases</t>
  </si>
  <si>
    <t>Other</t>
  </si>
  <si>
    <t>Geothermal Energy</t>
  </si>
  <si>
    <t>Off-Road Vehicles and Other Machinery</t>
  </si>
  <si>
    <t>Solid Waste Disposal on Land</t>
  </si>
  <si>
    <t>Liming</t>
  </si>
  <si>
    <t>Urea</t>
  </si>
  <si>
    <t>Other fertilizers with carbon</t>
  </si>
  <si>
    <t>Cattle</t>
  </si>
  <si>
    <t>Sheep</t>
  </si>
  <si>
    <t>Horses</t>
  </si>
  <si>
    <t>Cropland</t>
  </si>
  <si>
    <t>Grassland</t>
  </si>
  <si>
    <t>Wetlands</t>
  </si>
  <si>
    <t>Biological Treatment of Solid Waste</t>
  </si>
  <si>
    <t>Incineration and Open Burning</t>
  </si>
  <si>
    <t>Wastewater Treatment and Discharge</t>
  </si>
  <si>
    <t>Aluminium Production</t>
  </si>
  <si>
    <t>Ferrosilicon and Silicon Metal Production</t>
  </si>
  <si>
    <t>Road Transport</t>
  </si>
  <si>
    <t>ETS** staðbundinn iðnaður</t>
  </si>
  <si>
    <t>EMISSION OF GREENHOUSE GASES ACCORDING TO OBLIGATIONS</t>
  </si>
  <si>
    <t>Effort Sharing Regulation</t>
  </si>
  <si>
    <t xml:space="preserve">     According to national inventory</t>
  </si>
  <si>
    <t xml:space="preserve">     According to JCD 29/2022*</t>
  </si>
  <si>
    <t>ETS Stationary Industry**</t>
  </si>
  <si>
    <t>Total</t>
  </si>
  <si>
    <t>** EU Emissions Trading System (ETS), launched in 2005</t>
  </si>
  <si>
    <t>** Emissions from domestic aviation are partly covered under the ETS</t>
  </si>
  <si>
    <t>TARGETS AND OBLIGATIONS</t>
  </si>
  <si>
    <t>Road Transportation</t>
  </si>
  <si>
    <t>LAND USE, LAND-USE CHANGE AND FORESTRY (LULUCF)</t>
  </si>
  <si>
    <t>Fuel Combustion, Stationary Industry</t>
  </si>
  <si>
    <t>GREENHOUSE GAS EMISSIONS IN ICELAND</t>
  </si>
  <si>
    <t>Total, incl. LULUCF</t>
  </si>
  <si>
    <t>Total, without LULUCF</t>
  </si>
  <si>
    <t>ENERGY</t>
  </si>
  <si>
    <t>Domestic Aviation</t>
  </si>
  <si>
    <t>Domestic Navigation</t>
  </si>
  <si>
    <t>Fuel Combustion in Stationary Industry</t>
  </si>
  <si>
    <t>INDUSTRY AND PRODUCT USE (IPPU)</t>
  </si>
  <si>
    <t>AGRICULTURE</t>
  </si>
  <si>
    <t>Enteric Fermentation</t>
  </si>
  <si>
    <t>Manure Management</t>
  </si>
  <si>
    <t>Agricultural Soils</t>
  </si>
  <si>
    <t>Other Emissions</t>
  </si>
  <si>
    <t>WASTE</t>
  </si>
  <si>
    <t>INTERNATIONAL TRANSPORTATION</t>
  </si>
  <si>
    <t>International Aviation</t>
  </si>
  <si>
    <t>International Navigation</t>
  </si>
  <si>
    <t>LANDBÚNAÐUR | AGRICULTURE</t>
  </si>
  <si>
    <t>Almennt ekki talið til heildarlosunar ríkja. Losunin er að hluta innan ETS kerfisins. | Usually not included in total national emissions. Part of these emissions are counted under the ETS.</t>
  </si>
  <si>
    <t xml:space="preserve">   Mineral Products</t>
  </si>
  <si>
    <t xml:space="preserve">   Chemical Industry</t>
  </si>
  <si>
    <t xml:space="preserve">   Non-Energy Products from Fuels and Solvent Use</t>
  </si>
  <si>
    <t>Forest Land</t>
  </si>
  <si>
    <t>Skipt eftir helstu uppsprettum | Main sources</t>
  </si>
  <si>
    <t>GREENHOUSE GAS EMISSIONS UNDER EFFORT SHARING REGULATION (ESR)</t>
  </si>
  <si>
    <t>Iðnaður og vörunotkun</t>
  </si>
  <si>
    <t xml:space="preserve">Samfélagslosun (áður kallað losun á beinni ábyrgð Íslands) er losun sem fellur undir svokallaða beina ábyrgð ríkja samkvæmt ESB reglugerðinni 2018/842 um sameiginlega ábyrgð (e. Effort Sharing Regulation, ESR). </t>
  </si>
  <si>
    <t>Samtals, með landnotkun</t>
  </si>
  <si>
    <t>Samtals, án landnotkunar</t>
  </si>
  <si>
    <t>IÐNAÐUR OG VÖRUNOTKUN</t>
  </si>
  <si>
    <t>Samtals með landnotkun | Total with LULUCF</t>
  </si>
  <si>
    <t>Samtals án landnotkunar | Total without LULUCF</t>
  </si>
  <si>
    <t>—</t>
  </si>
  <si>
    <t>Eldsneytisbruni vegna staðbundins iðnaðar</t>
  </si>
  <si>
    <t>1.D.1 international bunkers kt CO2-eq</t>
  </si>
  <si>
    <t>AEAsProxyCalc41</t>
  </si>
  <si>
    <t>ESR Emissionskt CO2eq</t>
  </si>
  <si>
    <t>1.A.2 Manufacturing Industries and constructionkt CO2-eq</t>
  </si>
  <si>
    <t>Framræst land (N₂O)</t>
  </si>
  <si>
    <t>Annual ESR Emission Allocations*</t>
  </si>
  <si>
    <t>2.C.2 Ferroalloys productionkt CO2-eq</t>
  </si>
  <si>
    <t>2.C.1 Iron and Steel productionkt CO2-eq</t>
  </si>
  <si>
    <t xml:space="preserve">   In Constructions</t>
  </si>
  <si>
    <t xml:space="preserve">   In Agriculture</t>
  </si>
  <si>
    <t xml:space="preserve">   Elsewhere</t>
  </si>
  <si>
    <t xml:space="preserve">   Steinefnaiðnaður</t>
  </si>
  <si>
    <t xml:space="preserve">   Efnaiðnaður</t>
  </si>
  <si>
    <t xml:space="preserve">   Járn- og stálframleiðsla</t>
  </si>
  <si>
    <t xml:space="preserve">   Smurefni og leysiefni</t>
  </si>
  <si>
    <t xml:space="preserve">   of which enteric fermentation</t>
  </si>
  <si>
    <t xml:space="preserve">   of which methane from manure management</t>
  </si>
  <si>
    <t xml:space="preserve">   of which nitrous oxide from manure management</t>
  </si>
  <si>
    <t xml:space="preserve">   Iron and Steel Production</t>
  </si>
  <si>
    <t>Landnotkun</t>
  </si>
  <si>
    <t>Industrial Processes and Product Use</t>
  </si>
  <si>
    <r>
      <t>Kölkun og CO</t>
    </r>
    <r>
      <rPr>
        <vertAlign val="subscript"/>
        <sz val="10"/>
        <rFont val="Segoe UI"/>
        <family val="2"/>
      </rPr>
      <t>₂</t>
    </r>
    <r>
      <rPr>
        <sz val="10"/>
        <rFont val="Segoe UI"/>
        <family val="2"/>
      </rPr>
      <t>-losun frá áburði</t>
    </r>
  </si>
  <si>
    <t>Liming and CO₂-Emissions from Fertilizers</t>
  </si>
  <si>
    <r>
      <t>Cultivation of Organic Soils (N</t>
    </r>
    <r>
      <rPr>
        <vertAlign val="subscript"/>
        <sz val="10"/>
        <rFont val="Segoe UI"/>
        <family val="2"/>
      </rPr>
      <t>₂</t>
    </r>
    <r>
      <rPr>
        <sz val="10"/>
        <rFont val="Segoe UI"/>
        <family val="2"/>
      </rPr>
      <t>O)</t>
    </r>
  </si>
  <si>
    <r>
      <t>Innanlandsflug (CO</t>
    </r>
    <r>
      <rPr>
        <vertAlign val="subscript"/>
        <sz val="10"/>
        <rFont val="Segoe UI"/>
        <family val="2"/>
      </rPr>
      <t>₂</t>
    </r>
    <r>
      <rPr>
        <sz val="10"/>
        <rFont val="Segoe UI"/>
        <family val="2"/>
      </rPr>
      <t>)</t>
    </r>
  </si>
  <si>
    <t>1.A.2 Manufacturing Industries and combustionkt CO2-eq</t>
  </si>
  <si>
    <t>1.D memo items (do not count towards national totals)kt CO2-eq</t>
  </si>
  <si>
    <t>LANDNOTKUN</t>
  </si>
  <si>
    <r>
      <t>Domestic aviation (CO₂</t>
    </r>
    <r>
      <rPr>
        <sz val="8.8000000000000007"/>
        <color theme="1"/>
        <rFont val="Segoe UI"/>
        <family val="2"/>
      </rPr>
      <t>)</t>
    </r>
    <r>
      <rPr>
        <sz val="11"/>
        <color theme="1"/>
        <rFont val="Segoe UI"/>
        <family val="2"/>
      </rPr>
      <t>***</t>
    </r>
  </si>
  <si>
    <r>
      <t>* Í ákvörðun sameiginlegu EES-nefndar nr. 29/2022 (JCD) var losun undir beina ábyrgð Íslands árið 2005 metin 3.109.329 kg CO</t>
    </r>
    <r>
      <rPr>
        <vertAlign val="subscript"/>
        <sz val="8"/>
        <color theme="1"/>
        <rFont val="Segoe UI"/>
        <family val="2"/>
      </rPr>
      <t>2</t>
    </r>
    <r>
      <rPr>
        <sz val="8"/>
        <color theme="1"/>
        <rFont val="Segoe UI"/>
        <family val="2"/>
      </rPr>
      <t>-íg.</t>
    </r>
  </si>
  <si>
    <r>
      <t>*** Um er að ræða CO</t>
    </r>
    <r>
      <rPr>
        <vertAlign val="subscript"/>
        <sz val="8"/>
        <color theme="1"/>
        <rFont val="Segoe UI"/>
        <family val="2"/>
      </rPr>
      <t>2</t>
    </r>
    <r>
      <rPr>
        <sz val="8"/>
        <color theme="1"/>
        <rFont val="Segoe UI"/>
        <family val="2"/>
      </rPr>
      <t xml:space="preserve"> losun vegna alls innanlandsflugs á Íslandi. Losun frá innanlandsflugi er að hluta innan ETS og að hluta ekki.</t>
    </r>
  </si>
  <si>
    <r>
      <t xml:space="preserve">Total
</t>
    </r>
    <r>
      <rPr>
        <sz val="8"/>
        <rFont val="Segoe UI"/>
        <family val="2"/>
      </rPr>
      <t>- According to national inventory</t>
    </r>
  </si>
  <si>
    <r>
      <t xml:space="preserve">Total*
</t>
    </r>
    <r>
      <rPr>
        <sz val="8"/>
        <color theme="1"/>
        <rFont val="Segoe UI"/>
        <family val="2"/>
      </rPr>
      <t>- According to JCD 29/2022</t>
    </r>
  </si>
  <si>
    <r>
      <t>* Í ákvörðun sameiginlegu EES-nefndar nr. 29/2022 var losun undir beina ábyrgð Íslands árið 2005 metin 3.109.329 kg CO</t>
    </r>
    <r>
      <rPr>
        <vertAlign val="subscript"/>
        <sz val="8"/>
        <color theme="1"/>
        <rFont val="Segoe UI"/>
        <family val="2"/>
      </rPr>
      <t>2</t>
    </r>
    <r>
      <rPr>
        <sz val="8"/>
        <color theme="1"/>
        <rFont val="Segoe UI"/>
        <family val="2"/>
      </rPr>
      <t>-íg.</t>
    </r>
  </si>
  <si>
    <t>ETS Stationary Industries</t>
  </si>
  <si>
    <t>1. Energykt CO2-eq WEM</t>
  </si>
  <si>
    <t>2. Industrial processes and product usekt CO2-eq WEM</t>
  </si>
  <si>
    <t>3. Agriculturekt CO2-eq WEM</t>
  </si>
  <si>
    <t>4. LULUCFkt CO2-eq WEM</t>
  </si>
  <si>
    <t>5. Wastekt CO2-eq WEM</t>
  </si>
  <si>
    <t>National Total, with LULUCFkt CO2-eq WEM</t>
  </si>
  <si>
    <t>National Total, without LULUCFkt CO2-eq WEM</t>
  </si>
  <si>
    <t>1. Energykt CO2-eq WAM</t>
  </si>
  <si>
    <t>2. Industrial processes and product usekt CO2-eq WAM</t>
  </si>
  <si>
    <t>3. Agriculturekt CO2-eq WAM</t>
  </si>
  <si>
    <t>4. LULUCFkt CO2-eq WAM</t>
  </si>
  <si>
    <t>5. Wastekt CO2-eq WAM</t>
  </si>
  <si>
    <t>National Total, with LULUCFkt CO2-eq WAM</t>
  </si>
  <si>
    <t>National Total, without LULUCFkt CO2-eq WAM</t>
  </si>
  <si>
    <t>1.A.4.c.iii Agriculture/Forestry/Fishing - Fishing kt CO2-eq WEM</t>
  </si>
  <si>
    <t>1.A.3.b Road transportationkt CO2-eq WEM</t>
  </si>
  <si>
    <t>1.B.2.d Geothermal Energykt CO2-eq WEM</t>
  </si>
  <si>
    <t>2.C.3 Aluminium productionkt CO2-eq WEM</t>
  </si>
  <si>
    <t>2.C.2 Ferroalloys productionkt CO2-eq WEM</t>
  </si>
  <si>
    <t>National Total, without LULUCF OTHER kt CO2-eq WEM</t>
  </si>
  <si>
    <t>1.A.4.c.iii Agriculture/Forestry/Fishing - Fishing kt CO2-eq WAM</t>
  </si>
  <si>
    <t>1.A.3.b Road transportationkt CO2-eq WAM</t>
  </si>
  <si>
    <t>1.B.2.d Geothermal Energykt CO2-eq WAM</t>
  </si>
  <si>
    <t>2.C.3 Aluminium productionkt CO2-eq WAM</t>
  </si>
  <si>
    <t>2.C.2 Ferroalloys productionkt CO2-eq WAM</t>
  </si>
  <si>
    <t>National Total, without LULUCF OTHER kt CO2-eq WAM</t>
  </si>
  <si>
    <t>1.A.3.a Domestic aviationkt CO2-eq WEM</t>
  </si>
  <si>
    <t>1.A.3.dDomestic navigationkt CO2-eq WEM</t>
  </si>
  <si>
    <t>Mobile Machinery WEM</t>
  </si>
  <si>
    <t>Fuel combustion in stationary industry kt CO2e WEM</t>
  </si>
  <si>
    <t>1. Energy OTHER kt CO2-eq WEM</t>
  </si>
  <si>
    <t>1.A.3.a Domestic aviationkt CO2-eq WAM</t>
  </si>
  <si>
    <t>1.A.3.dDomestic navigationkt CO2-eq WAM</t>
  </si>
  <si>
    <t>Mobile Machinery WAM</t>
  </si>
  <si>
    <t>Fuel combustion in stationary industry kt CO2e WAM</t>
  </si>
  <si>
    <t>1. Energy OTHER kt CO2-eq WAM</t>
  </si>
  <si>
    <t>2.F Product uses as substitutes for ODSkt CO2-eq WEM</t>
  </si>
  <si>
    <t>2 IPPU OTHER kt CO2e WEM</t>
  </si>
  <si>
    <t>2.F Product uses as substitutes for ODSkt CO2-eq WAM</t>
  </si>
  <si>
    <t>2 IPPU OTHER kt CO2e WAM</t>
  </si>
  <si>
    <t>3.A Enteric fermentationkt CO2-eq WEM</t>
  </si>
  <si>
    <t>3.B Manure managmentkt CO2-eq WEM</t>
  </si>
  <si>
    <t>3.D Agricultural soilskt CO2-eq WEM</t>
  </si>
  <si>
    <t>Liming and CO2 from fertilizers kt CO2e WEM</t>
  </si>
  <si>
    <t>3.A Enteric fermentationkt CO2-eq WAM</t>
  </si>
  <si>
    <t>3.B Manure managmentkt CO2-eq WAM</t>
  </si>
  <si>
    <t>3.D Agricultural soilskt CO2-eq WAM</t>
  </si>
  <si>
    <t>Liming and CO2 from fertilizers kt CO2e WAM</t>
  </si>
  <si>
    <t>Cattle kt CO2e WEM</t>
  </si>
  <si>
    <t>Sheep kt CO2e WEM</t>
  </si>
  <si>
    <t>Horses kt CO2e WEM</t>
  </si>
  <si>
    <t>Agriculture Other kt CO2e WEM</t>
  </si>
  <si>
    <t>Cattle kt CO2e WAM</t>
  </si>
  <si>
    <t>Sheep kt CO2e WAM</t>
  </si>
  <si>
    <t>Horses kt CO2e WAM</t>
  </si>
  <si>
    <t>Agriculture Other kt CO2e WAM</t>
  </si>
  <si>
    <t>4.A Forest Landkt CO2-eq WEM</t>
  </si>
  <si>
    <t>4.B Croplandkt CO2-eq WEM</t>
  </si>
  <si>
    <t>4.C Grasslandkt CO2-eq WEM</t>
  </si>
  <si>
    <t>4.D Wetlandskt CO2-eq WEM</t>
  </si>
  <si>
    <t>LULUCF Annað WEM</t>
  </si>
  <si>
    <t>4.A Forest Landkt CO2-eq WAM</t>
  </si>
  <si>
    <t>4.B Croplandkt CO2-eq WAM</t>
  </si>
  <si>
    <t>4.C Grasslandkt CO2-eq WAM</t>
  </si>
  <si>
    <t>4.D Wetlandskt CO2-eq WAM</t>
  </si>
  <si>
    <t>LULUCF Annað WAM</t>
  </si>
  <si>
    <t>5.A Solid waste disposalkt CO2-eq WEM</t>
  </si>
  <si>
    <t>5.B Biological treatment of solid wastekt CO2-eq WEM</t>
  </si>
  <si>
    <t>5.C Incineration and open burning of wastekt CO2-eq WEM</t>
  </si>
  <si>
    <t>5.D Wastewater handlingkt CO2-eq WEM</t>
  </si>
  <si>
    <t>5.A Solid waste disposalkt CO2-eq WAM</t>
  </si>
  <si>
    <t>5.B Biological treatment of solid wastekt CO2-eq WAM</t>
  </si>
  <si>
    <t>5.C Incineration and open burning of wastekt CO2-eq WAM</t>
  </si>
  <si>
    <t>5.D Wastewater handlingkt CO2-eq WAM</t>
  </si>
  <si>
    <t>1.D.1.a International Aviationkt CO2-eq WEM</t>
  </si>
  <si>
    <t>1.D.1.b International Navigation kt CO2-eq WEM</t>
  </si>
  <si>
    <t>1.D memo items (do not count towards national totals)kt CO2-eq WEM</t>
  </si>
  <si>
    <t>1.D.1.a International Aviationkt CO2-eq WAM</t>
  </si>
  <si>
    <t>1.D.1.b International Navigation kt CO2-eq WAM</t>
  </si>
  <si>
    <t>1.D memo items (do not count towards national totals)kt CO2-eq WAM</t>
  </si>
  <si>
    <t>Total - fisk - veg - jarð</t>
  </si>
  <si>
    <t>ESR WAM kt CO2-eq</t>
  </si>
  <si>
    <t>ESR WEM</t>
  </si>
  <si>
    <t>Innanlandsflug (CO₂)***</t>
  </si>
  <si>
    <t>ESR Historical</t>
  </si>
  <si>
    <t>ESR WAM</t>
  </si>
  <si>
    <t>ETS Historical</t>
  </si>
  <si>
    <t>DomAvi Historical</t>
  </si>
  <si>
    <t>LULUCF Historical</t>
  </si>
  <si>
    <t>NatTot_W_LULUCF Historical</t>
  </si>
  <si>
    <t>ETS WEM</t>
  </si>
  <si>
    <t>DomAvi WEM</t>
  </si>
  <si>
    <t>LULUCF WEM</t>
  </si>
  <si>
    <t>NatTot_W_LULUCF WEM</t>
  </si>
  <si>
    <t>NatTot_WO_LULUCF Historical</t>
  </si>
  <si>
    <t>NatTot_WO_LULUCF WEM</t>
  </si>
  <si>
    <t>NatTot_W_LULUCF WAM</t>
  </si>
  <si>
    <t>DomAvi WAM</t>
  </si>
  <si>
    <t>ESD Other WEM</t>
  </si>
  <si>
    <t>ESD Other WAM</t>
  </si>
  <si>
    <t>ETS Energy EmissionsGHGskt CO2eq WEM</t>
  </si>
  <si>
    <t>ETS TotalGHGskt CO2eq WEM</t>
  </si>
  <si>
    <t>Tot-Vega-Land-Urð</t>
  </si>
  <si>
    <t>LOSUN GRÓÐURHÚSALOFTTEGUNDA FRÁ LANDNOTKUN</t>
  </si>
  <si>
    <r>
      <t>Chanee Jónsdóttir Thianthong, Umhverfis- og orkustofnun</t>
    </r>
    <r>
      <rPr>
        <sz val="11"/>
        <color theme="1"/>
        <rFont val="Segoe UI"/>
        <family val="2"/>
        <scheme val="minor"/>
      </rPr>
      <t>/Icelandic Environment and Energy Agency</t>
    </r>
  </si>
  <si>
    <r>
      <rPr>
        <b/>
        <sz val="11"/>
        <color theme="1"/>
        <rFont val="Segoe UI"/>
        <family val="2"/>
        <scheme val="minor"/>
      </rPr>
      <t>Losunartölur byggðar á hnatthlýnunarmætti úr fimmtu matsskýrslu (AR5) milliríkjanefndar um loftslagsbreyingar (IPCC).</t>
    </r>
    <r>
      <rPr>
        <sz val="11"/>
        <color theme="1"/>
        <rFont val="Segoe UI"/>
        <family val="2"/>
        <scheme val="minor"/>
      </rPr>
      <t xml:space="preserve">
Greenhouse gas emissions inventory based on potency from the Intergovernmental Panel on Climate Change's (IPCC) 5th Assessment Report (AR5).</t>
    </r>
  </si>
  <si>
    <r>
      <rPr>
        <b/>
        <sz val="11"/>
        <color theme="1"/>
        <rFont val="Segoe UI"/>
        <family val="2"/>
        <scheme val="minor"/>
      </rPr>
      <t>Losunartölurnar í skjalinu miða við ofangreinda dagsetningu. Losunarbókhald Íslands er í stöðugri endurskoðun og því geta losunartölurnar tekið breytingum.</t>
    </r>
    <r>
      <rPr>
        <sz val="11"/>
        <color theme="1"/>
        <rFont val="Segoe UI"/>
        <family val="2"/>
        <scheme val="minor"/>
      </rPr>
      <t xml:space="preserve">
The numbers in this document were last updated on the above date. Iceland's greenhouse gas inventory is under constant review and, as a result, the numbers can change from time to time.</t>
    </r>
  </si>
  <si>
    <r>
      <rPr>
        <b/>
        <sz val="11"/>
        <color theme="0"/>
        <rFont val="Segoe UI"/>
        <family val="2"/>
        <scheme val="minor"/>
      </rPr>
      <t>Gögn byggð á</t>
    </r>
    <r>
      <rPr>
        <sz val="11"/>
        <color theme="0"/>
        <rFont val="Segoe UI"/>
        <family val="2"/>
        <scheme val="minor"/>
      </rPr>
      <t xml:space="preserve">
Data based on</t>
    </r>
  </si>
  <si>
    <t>Söguleg losun</t>
  </si>
  <si>
    <t>Historical Emissions</t>
  </si>
  <si>
    <t xml:space="preserve">     Samkvæmt JCD 29/2022*</t>
  </si>
  <si>
    <t>LOSUN GRÓÐURHÚSALOFTTEGUNDA Á ÍSLANDI EFTIR SKULDBINDINGUM</t>
  </si>
  <si>
    <r>
      <t>Þús. tonn CO</t>
    </r>
    <r>
      <rPr>
        <vertAlign val="subscript"/>
        <sz val="10"/>
        <color rgb="FF00827F"/>
        <rFont val="Aptos Narrow"/>
        <family val="2"/>
      </rPr>
      <t>₂</t>
    </r>
    <r>
      <rPr>
        <sz val="10"/>
        <color rgb="FF00827F"/>
        <rFont val="Segoe UI"/>
        <family val="2"/>
      </rPr>
      <t>-íg.</t>
    </r>
  </si>
  <si>
    <t>OUTLOOKS</t>
  </si>
  <si>
    <r>
      <t xml:space="preserve">Samtals
</t>
    </r>
    <r>
      <rPr>
        <sz val="8"/>
        <color rgb="FF3C7290"/>
        <rFont val="Segoe UI"/>
        <family val="2"/>
      </rPr>
      <t>- Miðað við losunarbókhald</t>
    </r>
  </si>
  <si>
    <r>
      <t xml:space="preserve">Samtals*
</t>
    </r>
    <r>
      <rPr>
        <sz val="8"/>
        <color rgb="FF3C7290"/>
        <rFont val="Segoe UI"/>
        <family val="2"/>
      </rPr>
      <t>- Miðað við JCD 29/2022</t>
    </r>
  </si>
  <si>
    <t>Estimated change in emissions between 2005 and 2030</t>
  </si>
  <si>
    <r>
      <t>Thousand tons CO</t>
    </r>
    <r>
      <rPr>
        <vertAlign val="subscript"/>
        <sz val="8"/>
        <color theme="2"/>
        <rFont val="Aptos Narrow"/>
        <family val="2"/>
      </rPr>
      <t>₂</t>
    </r>
    <r>
      <rPr>
        <sz val="8"/>
        <color theme="2"/>
        <rFont val="Segoe UI"/>
        <family val="2"/>
      </rPr>
      <t>e</t>
    </r>
  </si>
  <si>
    <t>Áætluð breyting í losun milli 2005 og 2030</t>
  </si>
  <si>
    <t>LOSUN GRÓÐURHÚSALOFTTEGUNDA FRÁ STAÐBUNDUM IÐNAÐI UNDIR ETS KERFI</t>
  </si>
  <si>
    <t>GREENHOUSE GAS EMISSIONS FROM STATIONARY INDUSTRY UNDER THE ETS</t>
  </si>
  <si>
    <t>Milli 2005 og 2030</t>
  </si>
  <si>
    <t>Milli 1990 og 2055</t>
  </si>
  <si>
    <t>Change from 2005</t>
  </si>
  <si>
    <t>Change from 1990</t>
  </si>
  <si>
    <t>2030 compared to 2005</t>
  </si>
  <si>
    <t>2055 compared to 1990</t>
  </si>
  <si>
    <r>
      <t>Þús. tonn CO</t>
    </r>
    <r>
      <rPr>
        <vertAlign val="subscript"/>
        <sz val="10"/>
        <color rgb="FF008AAC"/>
        <rFont val="Aptos Narrow"/>
        <family val="2"/>
      </rPr>
      <t>₂</t>
    </r>
    <r>
      <rPr>
        <sz val="10"/>
        <color rgb="FF008AAC"/>
        <rFont val="Segoe UI"/>
        <family val="2"/>
      </rPr>
      <t>-íg.</t>
    </r>
  </si>
  <si>
    <r>
      <t>Þús. tonn CO</t>
    </r>
    <r>
      <rPr>
        <vertAlign val="subscript"/>
        <sz val="10"/>
        <color rgb="FF855092"/>
        <rFont val="Aptos Narrow"/>
        <family val="2"/>
      </rPr>
      <t>₂</t>
    </r>
    <r>
      <rPr>
        <sz val="10"/>
        <color rgb="FF855092"/>
        <rFont val="Segoe UI"/>
        <family val="2"/>
      </rPr>
      <t>-íg.</t>
    </r>
  </si>
  <si>
    <r>
      <t>Þús. tonn CO</t>
    </r>
    <r>
      <rPr>
        <vertAlign val="subscript"/>
        <sz val="10"/>
        <color rgb="FF68A200"/>
        <rFont val="Aptos Narrow"/>
        <family val="2"/>
      </rPr>
      <t>₂</t>
    </r>
    <r>
      <rPr>
        <sz val="10"/>
        <color rgb="FF68A200"/>
        <rFont val="Segoe UI"/>
        <family val="2"/>
      </rPr>
      <t>-íg.</t>
    </r>
  </si>
  <si>
    <r>
      <t>Þús. tonn CO</t>
    </r>
    <r>
      <rPr>
        <vertAlign val="subscript"/>
        <sz val="10"/>
        <color rgb="FFED7D31"/>
        <rFont val="Aptos Narrow"/>
        <family val="2"/>
      </rPr>
      <t>₂</t>
    </r>
    <r>
      <rPr>
        <sz val="10"/>
        <color rgb="FFED7D31"/>
        <rFont val="Segoe UI"/>
        <family val="2"/>
      </rPr>
      <t>-íg.</t>
    </r>
  </si>
  <si>
    <r>
      <t>Þús. tonn CO</t>
    </r>
    <r>
      <rPr>
        <vertAlign val="subscript"/>
        <sz val="10"/>
        <color theme="0" tint="-0.499984740745262"/>
        <rFont val="Aptos Narrow"/>
        <family val="2"/>
      </rPr>
      <t>₂</t>
    </r>
    <r>
      <rPr>
        <sz val="10"/>
        <color theme="0" tint="-0.499984740745262"/>
        <rFont val="Segoe UI"/>
        <family val="2"/>
      </rPr>
      <t>-íg.</t>
    </r>
  </si>
  <si>
    <t xml:space="preserve">   Other Product Use</t>
  </si>
  <si>
    <t xml:space="preserve">   Önnur vörunotkun</t>
  </si>
  <si>
    <t>2C2Emissions (ETS)kt CO2eq</t>
  </si>
  <si>
    <t>2C3Emissions (ETS)kt CO2eq</t>
  </si>
  <si>
    <t xml:space="preserve">     Samkvæmt losunarbókhaldi</t>
  </si>
  <si>
    <t>ETS Stationary Industries**</t>
  </si>
  <si>
    <t>** Viðskiptakerfi ESB með losunarheimildir (ETS), kom á fót 2005.</t>
  </si>
  <si>
    <t>2C2Emissions (ETS)kt CO2eq WEM</t>
  </si>
  <si>
    <t>2C3Emissions (ETS)kt CO2eq WEM</t>
  </si>
  <si>
    <t>ALÞJÓÐASAMGÖNGUR</t>
  </si>
  <si>
    <r>
      <t>ESR emissions (</t>
    </r>
    <r>
      <rPr>
        <i/>
        <sz val="14"/>
        <color theme="0"/>
        <rFont val="Segoe UI"/>
        <family val="2"/>
      </rPr>
      <t>ísl. samfélagslosun</t>
    </r>
    <r>
      <rPr>
        <sz val="14"/>
        <color theme="0"/>
        <rFont val="Segoe UI"/>
        <family val="2"/>
      </rPr>
      <t xml:space="preserve">) refer to the greenhouse gas emissions that fall under the scope of Regulation (EU) 2018/842 (Effort Sharing Regulation, ESR). 
</t>
    </r>
  </si>
  <si>
    <r>
      <t xml:space="preserve">LOSUN ÍSLANDS </t>
    </r>
    <r>
      <rPr>
        <b/>
        <sz val="16"/>
        <color theme="3"/>
        <rFont val="Segoe UI"/>
        <family val="2"/>
      </rPr>
      <t>MEÐ</t>
    </r>
    <r>
      <rPr>
        <b/>
        <sz val="16"/>
        <color theme="2"/>
        <rFont val="Segoe UI"/>
        <family val="2"/>
      </rPr>
      <t xml:space="preserve"> LOSUN FRÁ LANDNOTKUN</t>
    </r>
  </si>
  <si>
    <r>
      <t xml:space="preserve">LOSUN ÍSLANDS </t>
    </r>
    <r>
      <rPr>
        <b/>
        <sz val="16"/>
        <color theme="3"/>
        <rFont val="Segoe UI"/>
        <family val="2"/>
      </rPr>
      <t>ÁN</t>
    </r>
    <r>
      <rPr>
        <b/>
        <sz val="16"/>
        <color theme="2"/>
        <rFont val="Segoe UI"/>
        <family val="2"/>
      </rPr>
      <t xml:space="preserve"> LOSUNAR FRÁ LANDNOTKUN</t>
    </r>
  </si>
  <si>
    <r>
      <t xml:space="preserve">ICELAND'S EMISSIONS </t>
    </r>
    <r>
      <rPr>
        <b/>
        <sz val="16"/>
        <color theme="3"/>
        <rFont val="Segoe UI"/>
        <family val="2"/>
      </rPr>
      <t>INCLUDING</t>
    </r>
    <r>
      <rPr>
        <b/>
        <sz val="16"/>
        <color theme="2"/>
        <rFont val="Segoe UI"/>
        <family val="2"/>
      </rPr>
      <t xml:space="preserve"> LULUCF</t>
    </r>
  </si>
  <si>
    <r>
      <t xml:space="preserve">ICELAND'S EMISSIONS </t>
    </r>
    <r>
      <rPr>
        <b/>
        <sz val="16"/>
        <color theme="3"/>
        <rFont val="Segoe UI"/>
        <family val="2"/>
      </rPr>
      <t>EXCLUDING</t>
    </r>
    <r>
      <rPr>
        <b/>
        <sz val="16"/>
        <color theme="2"/>
        <rFont val="Segoe UI"/>
        <family val="2"/>
      </rPr>
      <t xml:space="preserve"> LULUCF</t>
    </r>
  </si>
  <si>
    <t>BY IPCC SECTORS</t>
  </si>
  <si>
    <t>SKIPT EFTIR IPCC YFIRFLOKKUM</t>
  </si>
  <si>
    <t>LOSUN GRÓÐURHÚSALOFTTEGUNDA Á ÍSLANDI (ÁN LANDNOTKUNAR)</t>
  </si>
  <si>
    <t>SKIPT EFTIR HELSTU UPPSPRETTUM</t>
  </si>
  <si>
    <t>GREENHOUSE GAS EMISSIONS IN ICELAND (EXCL. LULUCF)</t>
  </si>
  <si>
    <t>BY MAIN SOURCES</t>
  </si>
  <si>
    <t>ALMENNT EKKI TALIÐ TIL HEILDARLOSUNAR RÍKJA. LOSUNIN ER AÐ HLUTA INNAN ETS KERFISINS.</t>
  </si>
  <si>
    <r>
      <t xml:space="preserve">SAMFÉLAGSLOSUN EFTIR </t>
    </r>
    <r>
      <rPr>
        <b/>
        <sz val="16"/>
        <color theme="3"/>
        <rFont val="Segoe UI"/>
        <family val="2"/>
      </rPr>
      <t>HELSTU UPPSPRETTUM</t>
    </r>
  </si>
  <si>
    <r>
      <t xml:space="preserve">ESR EMISSIONS BY </t>
    </r>
    <r>
      <rPr>
        <b/>
        <sz val="16"/>
        <color theme="3"/>
        <rFont val="Segoe UI"/>
        <family val="2"/>
      </rPr>
      <t>MAIN SOURCES</t>
    </r>
  </si>
  <si>
    <t>WEM</t>
  </si>
  <si>
    <r>
      <t>Þús. tonn CO</t>
    </r>
    <r>
      <rPr>
        <vertAlign val="subscript"/>
        <sz val="10"/>
        <color rgb="FFB29A33"/>
        <rFont val="Aptos Narrow"/>
        <family val="2"/>
      </rPr>
      <t>₂</t>
    </r>
    <r>
      <rPr>
        <sz val="10"/>
        <color rgb="FFB29A33"/>
        <rFont val="Segoe UI"/>
        <family val="2"/>
      </rPr>
      <t>-íg.</t>
    </r>
  </si>
  <si>
    <r>
      <rPr>
        <b/>
        <sz val="11"/>
        <color theme="0"/>
        <rFont val="Segoe UI"/>
        <family val="2"/>
        <scheme val="minor"/>
      </rPr>
      <t>Athugasemd</t>
    </r>
    <r>
      <rPr>
        <sz val="11"/>
        <color theme="0"/>
        <rFont val="Segoe UI"/>
        <family val="2"/>
        <scheme val="minor"/>
      </rPr>
      <t xml:space="preserve">
Notes</t>
    </r>
  </si>
  <si>
    <r>
      <rPr>
        <b/>
        <sz val="11"/>
        <color theme="0"/>
        <rFont val="Segoe UI"/>
        <family val="2"/>
        <scheme val="minor"/>
      </rPr>
      <t>Skjalaumsjón</t>
    </r>
    <r>
      <rPr>
        <sz val="11"/>
        <color theme="0"/>
        <rFont val="Segoe UI"/>
        <family val="2"/>
        <scheme val="minor"/>
      </rPr>
      <t xml:space="preserve">
Responsible for this file</t>
    </r>
  </si>
  <si>
    <t>50%-55% Reduction Target (Paris)</t>
  </si>
  <si>
    <t>Markmið um 50% til 55% samdrátt (París)</t>
  </si>
  <si>
    <t>Ekki henda. Þessi lína er notuð til að búa til stærri "önnur losun"</t>
  </si>
  <si>
    <t>Heitin sem eru hér til hægri stjórna sambærilegum reitum annars staðar.</t>
  </si>
  <si>
    <t>Losun frá landbúnaði samkvæmt eiginlegri flokkun</t>
  </si>
  <si>
    <t>Emissions from Agriculture sector according to the proprietary classification</t>
  </si>
  <si>
    <t>Emissions from agriculture according to IPCC classification</t>
  </si>
  <si>
    <t>Losun frá landbúnaði samkvæmt IPCC-flokkun</t>
  </si>
  <si>
    <t>Flokkaskipting byggð á búgreinum og starfsemi í íslenskum landbúnaði</t>
  </si>
  <si>
    <t>Classification based on agricultural sectors and activities in Icelandic agriculture</t>
  </si>
  <si>
    <t>Losun sundurliðuð samkvæmt alþjóðlegri flokkun IPCC í losunarbókhaldi</t>
  </si>
  <si>
    <t>Emissions disaggregated according to the international IPCC classification used in greenhouse gas inventories</t>
  </si>
  <si>
    <t>Land use, Land-Use Change and Forestry (LULUCF)</t>
  </si>
  <si>
    <r>
      <t>Í ákvörðun sameiginlegu EES-nefndar nr. 29/2022 (JCD) var samfélagslosun Íslands (losun undir beina ábyrgð Íslands) árið 2005 metin 3109329 kg CO</t>
    </r>
    <r>
      <rPr>
        <vertAlign val="subscript"/>
        <sz val="10"/>
        <rFont val="Segoe UI"/>
        <family val="2"/>
      </rPr>
      <t>2</t>
    </r>
    <r>
      <rPr>
        <sz val="10"/>
        <rFont val="Segoe UI"/>
        <family val="2"/>
      </rPr>
      <t>-íg.</t>
    </r>
  </si>
  <si>
    <t>Árlegar losunarheimildir Íslands í samfélagslosun (miðað er við um áætlað nýtt markmið um 41% samdrátt árið 2030 miðað við 2005)</t>
  </si>
  <si>
    <t>Í landsákvörðuðu framlagi  Íslands gagnvart Parísarsamningum kemur fram að markmiðið sé 41% samdráttur í samfélagslosun árið 2030 og 50%-55% árið 2035 miðað við árið 2005</t>
  </si>
  <si>
    <t>Iceland's annual emission allocations for emissions falling under the scope of the ESR (assuming 41% emission reductions by 2030 compared to 2005)</t>
  </si>
  <si>
    <t>In Iceland's NDC, Iceland is committed to a target of 41% net reduction of ESR emissions by 2030 and 50%-55% by 2035 compared to 2005</t>
  </si>
  <si>
    <t xml:space="preserve">Losun frá innanlandsflugi er að hluta innan ETS </t>
  </si>
  <si>
    <t>Emissions from domestic aviation are partly included in the ETS</t>
  </si>
  <si>
    <t>Losun frá innanlandsflugi er að hluta innan ETS</t>
  </si>
  <si>
    <t>Inorganic fertilizer use and liming in agriculture kt CO2e</t>
  </si>
  <si>
    <t>Tilbúinn áburður og kölkun</t>
  </si>
  <si>
    <t>3D2_Inorganic N Fertilizer_CO2e_kt</t>
  </si>
  <si>
    <t>Organic fertilzer use in agriculture kt CO2e</t>
  </si>
  <si>
    <t>Lífrænn áburður</t>
  </si>
  <si>
    <t>3D2_Organic N Fertilizer_CO2e_kt</t>
  </si>
  <si>
    <t>3B5_Cattle_N2O emissions_kt CO2e</t>
  </si>
  <si>
    <t xml:space="preserve">   þar af óbein losun vegna meðhöndlun húsdýraáburðar</t>
  </si>
  <si>
    <t xml:space="preserve">   of which indirect emissions from manure management</t>
  </si>
  <si>
    <t>3B5_Sheep_N2O emissions_kt CO2e</t>
  </si>
  <si>
    <t>3B5_Horses_N2O emissions_kt CO2e</t>
  </si>
  <si>
    <t>Inorganic fertilizer use and liming in agriculture kt CO2e WEM</t>
  </si>
  <si>
    <t>Inorganic fertilizer use and liming in agriculture kt CO2e WAM</t>
  </si>
  <si>
    <t>Organic fertilzer use in agriculture kt CO2e WEM</t>
  </si>
  <si>
    <t>Organic fertilzer use in agriculture kt CO2e WAM</t>
  </si>
  <si>
    <t>3.D.1.fCultivation of organic soils (i.e. histosols)kt CO2-eq</t>
  </si>
  <si>
    <t>3.D.1.f Cultivation of organic soils (i.e. histosols)kt CO2-eq</t>
  </si>
  <si>
    <t>3.D.1.f Cultivation of organic soils (i.e. histosols)kt CO2-eq WEM</t>
  </si>
  <si>
    <t>3.D.1.f Cultivation of organic soils (i.e. histosols)kt CO2-eq WAM</t>
  </si>
  <si>
    <t>3.D.1.a Inorganic N fertilizerskt CO2-eq</t>
  </si>
  <si>
    <t>3.D.1.b.iAnimal manure applied to soils kt CO2-eq</t>
  </si>
  <si>
    <t>3.D.1.b.iiSewage sludge applied to soils kt CO2-eq</t>
  </si>
  <si>
    <t>3.D.1.b.iiiOther organic fertilizers applied to soils kt CO2-eq</t>
  </si>
  <si>
    <t>3.B(b) 3.B.1Cattlekt CO2-eq</t>
  </si>
  <si>
    <t>3.B(a) 3.B.1Cattlekt CO2-eq</t>
  </si>
  <si>
    <t>3B(b) 3.B.2Sheep kt CO2-eq</t>
  </si>
  <si>
    <t>3B(a) 3.B.2Sheep kt CO2-eq</t>
  </si>
  <si>
    <t>3B(b) 3.B.4.eOther livestock  - Horseskt CO2-eq</t>
  </si>
  <si>
    <t>3B(a) 3.B.4.eOther livestock  - Horseskt CO2-eq</t>
  </si>
  <si>
    <t>3.A.4.eOther livestock  - Horseskt CO2-eq</t>
  </si>
  <si>
    <t>Inorganic Fertilizer Use and Liming</t>
  </si>
  <si>
    <t>Organic Fertilizer Use</t>
  </si>
  <si>
    <r>
      <t>LOSUN FRÁ LANDNOTKUN</t>
    </r>
    <r>
      <rPr>
        <sz val="22"/>
        <color theme="0"/>
        <rFont val="Segoe UI"/>
        <family val="2"/>
      </rPr>
      <t xml:space="preserve"> | EMISSIONS FROM LAND USE, LAND USE-CHANGE AND FORESTRY (LULUCF)</t>
    </r>
  </si>
  <si>
    <r>
      <t>LOSUN FRÁ STAÐBUNDUM IÐNAÐI UNDIR ETS KERFI</t>
    </r>
    <r>
      <rPr>
        <sz val="22"/>
        <color theme="0"/>
        <rFont val="Segoe UI"/>
        <family val="2"/>
      </rPr>
      <t xml:space="preserve"> | EMISSION FROM STATIONARY INDUSTRY UNDER THE ETS</t>
    </r>
  </si>
  <si>
    <r>
      <t>LOSUN EFTIR SKULDBINDINGUM</t>
    </r>
    <r>
      <rPr>
        <sz val="22"/>
        <color theme="0"/>
        <rFont val="Segoe UI"/>
        <family val="2"/>
      </rPr>
      <t xml:space="preserve"> | EMISSIONS ACCORDING TO OBLIGATIONS</t>
    </r>
  </si>
  <si>
    <r>
      <t>ALÞJÓÐASAMGÖNGUR</t>
    </r>
    <r>
      <rPr>
        <sz val="22"/>
        <color theme="0"/>
        <rFont val="Segoe UI"/>
        <family val="2"/>
      </rPr>
      <t xml:space="preserve"> | INTERNATIONAL TRANSPORTATION</t>
    </r>
  </si>
  <si>
    <r>
      <t xml:space="preserve">SAMFÉLAGSLOSUN </t>
    </r>
    <r>
      <rPr>
        <sz val="22"/>
        <color theme="0"/>
        <rFont val="Segoe UI"/>
        <family val="2"/>
      </rPr>
      <t>| EFFORT SHARING REGULATION (ESR)</t>
    </r>
  </si>
  <si>
    <r>
      <t>ÚRGANGUR</t>
    </r>
    <r>
      <rPr>
        <sz val="22"/>
        <color theme="0"/>
        <rFont val="Segoe UI"/>
        <family val="2"/>
      </rPr>
      <t xml:space="preserve"> | WASTE</t>
    </r>
  </si>
  <si>
    <r>
      <t>LANDNOTKUN</t>
    </r>
    <r>
      <rPr>
        <sz val="22"/>
        <color theme="0"/>
        <rFont val="Segoe UI"/>
        <family val="2"/>
      </rPr>
      <t xml:space="preserve"> | LAND USE, LAND-USE CHANGE AND FORESTRY (LULUCF)</t>
    </r>
  </si>
  <si>
    <r>
      <t xml:space="preserve">IÐNAÐUR OG VÖRUNOTKUN </t>
    </r>
    <r>
      <rPr>
        <sz val="22"/>
        <color rgb="FF7A5C00"/>
        <rFont val="Segoe UI"/>
        <family val="2"/>
      </rPr>
      <t>| INDUSTRY AND PRODUCT USE</t>
    </r>
  </si>
  <si>
    <r>
      <t xml:space="preserve">ORKA </t>
    </r>
    <r>
      <rPr>
        <sz val="22"/>
        <color theme="0"/>
        <rFont val="Segoe UI"/>
        <family val="2"/>
      </rPr>
      <t>| ENERGY</t>
    </r>
  </si>
  <si>
    <r>
      <t>HEILDARLOSUN ÁN LANDNOTKUNAR</t>
    </r>
    <r>
      <rPr>
        <sz val="22"/>
        <color theme="0"/>
        <rFont val="Segoe UI"/>
        <family val="2"/>
      </rPr>
      <t xml:space="preserve"> | TOTAL EMISSIONS EXCL. LULUCF</t>
    </r>
  </si>
  <si>
    <t>Eftir helstu uppsprettum | By main sources</t>
  </si>
  <si>
    <r>
      <t>HEILDARLOSUN</t>
    </r>
    <r>
      <rPr>
        <sz val="24"/>
        <color theme="0"/>
        <rFont val="Segoe UI"/>
        <family val="2"/>
      </rPr>
      <t xml:space="preserve"> | TOTAL EMISSIONS</t>
    </r>
  </si>
  <si>
    <t>Skipt eftir yfirflokkum IPCC | By IPCC sectors</t>
  </si>
  <si>
    <t>Losun vegna notkunar lífræns áburðar, þ.e. húsdýraáburðar, seyru og annars lífræns áburðar</t>
  </si>
  <si>
    <t>Emissions from the use of organic fertilizers, i.e. manure, sludge and other organic fertilizers</t>
  </si>
  <si>
    <t>Losun vegna iðragerjunar og meðhöndlunar húsdýraáburðar</t>
  </si>
  <si>
    <t>Emissions from enteric fermentation and manure management</t>
  </si>
  <si>
    <t>Losun vegna iðragerjunar allra húsdýraflokka</t>
  </si>
  <si>
    <t>Losun vegna meðhöndlunar húsdýraáburðar frá öllum húsdýraflokkum</t>
  </si>
  <si>
    <t>Þessi flokkur nær yfir alla hláturgaslosun, beina og óbeina sem á sér stað vegna notkunar tilbúins og lífræns áburðar, vegna þvags og saurs frá dýrum á beit, vegna rotnunar plöntuleifa og vegna framræslu lands.</t>
  </si>
  <si>
    <t>This category includes all direct and indirect emissions of nitrous oxide that occur from the use of synthetic and organic fertilizers, from urine and dung from grazing animals, from the decay of plant residues, and from drained cropland and grassland.</t>
  </si>
  <si>
    <t>Emissions from enteric fermentation of all livestock categories</t>
  </si>
  <si>
    <t>Emissions from the manure management</t>
  </si>
  <si>
    <r>
      <t xml:space="preserve">Skil Umhverfis- og orkustofnunar til ESB í </t>
    </r>
    <r>
      <rPr>
        <b/>
        <sz val="11"/>
        <color theme="6"/>
        <rFont val="Segoe UI"/>
        <family val="2"/>
        <scheme val="minor"/>
      </rPr>
      <t>júlí 2026</t>
    </r>
    <r>
      <rPr>
        <b/>
        <sz val="11"/>
        <color theme="1"/>
        <rFont val="Segoe UI"/>
        <family val="2"/>
        <scheme val="minor"/>
      </rPr>
      <t xml:space="preserve">
</t>
    </r>
    <r>
      <rPr>
        <sz val="11"/>
        <color theme="1"/>
        <rFont val="Segoe UI"/>
        <family val="2"/>
        <scheme val="minor"/>
      </rPr>
      <t xml:space="preserve">Environment and Energy Agency of Iceland's submission to the EU in </t>
    </r>
    <r>
      <rPr>
        <sz val="11"/>
        <color theme="6"/>
        <rFont val="Segoe UI"/>
        <family val="2"/>
        <scheme val="minor"/>
      </rPr>
      <t>July 2026</t>
    </r>
  </si>
  <si>
    <r>
      <t xml:space="preserve">Næsta gagnabirting er áætluð í janúar 2027
</t>
    </r>
    <r>
      <rPr>
        <sz val="11"/>
        <color theme="1"/>
        <rFont val="Segoe UI"/>
        <family val="2"/>
        <scheme val="minor"/>
      </rPr>
      <t>Next data release is scheduled for January 2027</t>
    </r>
  </si>
  <si>
    <r>
      <t>Hláturgaslosun (N</t>
    </r>
    <r>
      <rPr>
        <vertAlign val="subscript"/>
        <sz val="10"/>
        <color theme="1"/>
        <rFont val="Segoe UI"/>
        <family val="2"/>
      </rPr>
      <t>₂</t>
    </r>
    <r>
      <rPr>
        <sz val="10"/>
        <color theme="1"/>
        <rFont val="Segoe UI"/>
        <family val="2"/>
      </rPr>
      <t>O) frá framræstu mólendi og ræktuðu landi</t>
    </r>
  </si>
  <si>
    <r>
      <t>N</t>
    </r>
    <r>
      <rPr>
        <vertAlign val="subscript"/>
        <sz val="10"/>
        <color theme="1"/>
        <rFont val="Segoe UI"/>
        <family val="2"/>
      </rPr>
      <t>₂</t>
    </r>
    <r>
      <rPr>
        <sz val="10"/>
        <color theme="1"/>
        <rFont val="Segoe UI"/>
        <family val="2"/>
      </rPr>
      <t>O og CO</t>
    </r>
    <r>
      <rPr>
        <vertAlign val="subscript"/>
        <sz val="10"/>
        <color theme="1"/>
        <rFont val="Segoe UI"/>
        <family val="2"/>
      </rPr>
      <t>₂</t>
    </r>
    <r>
      <rPr>
        <sz val="10"/>
        <color theme="1"/>
        <rFont val="Segoe UI"/>
        <family val="2"/>
      </rPr>
      <t xml:space="preserve"> losun vegna notkunar tilbúins áburðar og vegna kölkunar túna</t>
    </r>
  </si>
  <si>
    <r>
      <t>N</t>
    </r>
    <r>
      <rPr>
        <vertAlign val="subscript"/>
        <sz val="10"/>
        <color theme="1"/>
        <rFont val="Segoe UI"/>
        <family val="2"/>
      </rPr>
      <t>2</t>
    </r>
    <r>
      <rPr>
        <sz val="10"/>
        <color theme="1"/>
        <rFont val="Segoe UI"/>
        <family val="2"/>
      </rPr>
      <t>O emissions from drained grassland and cropland</t>
    </r>
  </si>
  <si>
    <r>
      <t>N</t>
    </r>
    <r>
      <rPr>
        <vertAlign val="subscript"/>
        <sz val="10"/>
        <color theme="1"/>
        <rFont val="Segoe UI"/>
        <family val="2"/>
      </rPr>
      <t>2</t>
    </r>
    <r>
      <rPr>
        <sz val="10"/>
        <color theme="1"/>
        <rFont val="Segoe UI"/>
        <family val="2"/>
      </rPr>
      <t>O and CO</t>
    </r>
    <r>
      <rPr>
        <vertAlign val="subscript"/>
        <sz val="10"/>
        <color theme="1"/>
        <rFont val="Segoe UI"/>
        <family val="2"/>
      </rPr>
      <t>2</t>
    </r>
    <r>
      <rPr>
        <sz val="10"/>
        <color theme="1"/>
        <rFont val="Segoe UI"/>
        <family val="2"/>
      </rPr>
      <t xml:space="preserve"> emissions from liming and synthetic fertilizer application</t>
    </r>
  </si>
  <si>
    <r>
      <t>CO</t>
    </r>
    <r>
      <rPr>
        <vertAlign val="subscript"/>
        <sz val="10"/>
        <color theme="1"/>
        <rFont val="Segoe UI"/>
        <family val="2"/>
      </rPr>
      <t>₂</t>
    </r>
    <r>
      <rPr>
        <sz val="10"/>
        <color theme="1"/>
        <rFont val="Segoe UI"/>
        <family val="2"/>
      </rPr>
      <t xml:space="preserve"> losun á sér stað vegna áburðar sem inniheldur kolefni og vegna kölkunar túna. Hún er talin fram hér en mestöll losun vegna notkunar áburðar er hláturgaslosun sem talin er fram innan Nytjajarðvegsflokksins.</t>
    </r>
  </si>
  <si>
    <r>
      <t>CO</t>
    </r>
    <r>
      <rPr>
        <vertAlign val="subscript"/>
        <sz val="10"/>
        <color theme="1"/>
        <rFont val="Segoe UI"/>
        <family val="2"/>
      </rPr>
      <t>₂</t>
    </r>
    <r>
      <rPr>
        <sz val="10"/>
        <color theme="1"/>
        <rFont val="Segoe UI"/>
        <family val="2"/>
      </rPr>
      <t xml:space="preserve"> emissions occur from fertilizers containing carbon and from liming. Those emissions are reported here, but most emissions from fertilizer use are nitrous oxide emissions, which are reported within the category Agricultural Soils.</t>
    </r>
  </si>
  <si>
    <t>Emission Projections: Government Policy-Based Scenario</t>
  </si>
  <si>
    <t>FRAMTÍÐARHORFUR</t>
  </si>
  <si>
    <t>Áætluð breyting í losun út frá
sviðsmynd byggð á aðgerðum stjórvalda</t>
  </si>
  <si>
    <t>Estimated change in emissions based on
government policy-based scenario</t>
  </si>
  <si>
    <t>Losunarspá: Sviðsmynd byggð á aðgerðum stjórnvalda</t>
  </si>
  <si>
    <t>Losun gróðurhúsalofttegunda á Íslandi í þúsundum tonna CO₂-ígilda | Greenhouse gas emissions in Iceland in kilotonnes CO₂ equivalent</t>
  </si>
  <si>
    <t>Emissions in 2025</t>
  </si>
  <si>
    <t>Change from 2024</t>
  </si>
  <si>
    <t>GENERALLY NOT INCLUDED IN NATIONAL TOTAL EMISSIONS. PART OF THESE EMISSIONS ARE COUNTED UNDER THE ETS.</t>
  </si>
  <si>
    <t>* In the EEA's Joint Committee Decision (JCD) n. 29/2022, Iceland's ESR emissions in 2005 were assessed to amount to 3,109,329 kg CO2-eq.</t>
  </si>
  <si>
    <t>In the EEA's Joint Committee Decision (JCD) n. 29/2022, Iceland's ESR emissions in 2005 were assessed to amount to 3109329 kg CO₂e.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</si>
</sst>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164" formatCode="0.0%"/>
    <numFmt numFmtId="165" formatCode="0.0"/>
    <numFmt numFmtId="166" formatCode="0.000%"/>
    <numFmt numFmtId="167" formatCode="0.000"/>
    <numFmt numFmtId="168" formatCode="0.0000"/>
    <numFmt numFmtId="169" formatCode="0.00000"/>
    <numFmt numFmtId="170" formatCode="0.000000"/>
    <numFmt numFmtId="171" formatCode="_-* #,##0.00_-;\-* #,##0.00_-;_-* &quot;-&quot;_-;_-@_-"/>
    <numFmt numFmtId="172" formatCode="0.0000000"/>
    <numFmt numFmtId="173" formatCode="0.00000%"/>
  </numFmts>
  <fonts count="213" x14ac:knownFonts="1">
    <font>
      <sz val="11"/>
      <color theme="1"/>
      <name val="Segoe UI"/>
      <family val="2"/>
      <scheme val="minor"/>
    </font>
    <font>
      <sz val="11"/>
      <color theme="1"/>
      <name val="Segoe UI"/>
      <family val="2"/>
      <scheme val="minor"/>
    </font>
    <font>
      <b/>
      <sz val="11"/>
      <color theme="1"/>
      <name val="Segoe UI"/>
      <family val="2"/>
      <scheme val="minor"/>
    </font>
    <font>
      <b/>
      <sz val="11"/>
      <color theme="0"/>
      <name val="Segoe UI"/>
      <family val="2"/>
      <scheme val="minor"/>
    </font>
    <font>
      <sz val="10"/>
      <color theme="0" tint="-0.499984740745262"/>
      <name val="Segoe UI"/>
      <family val="2"/>
    </font>
    <font>
      <sz val="11"/>
      <color theme="0" tint="-0.499984740745262"/>
      <name val="Segoe UI"/>
      <family val="2"/>
    </font>
    <font>
      <b/>
      <sz val="24"/>
      <color theme="9"/>
      <name val="Segoe UI"/>
      <family val="2"/>
    </font>
    <font>
      <b/>
      <sz val="24"/>
      <color theme="0"/>
      <name val="Segoe UI"/>
      <family val="2"/>
    </font>
    <font>
      <sz val="24"/>
      <color theme="0"/>
      <name val="Segoe UI"/>
      <family val="2"/>
    </font>
    <font>
      <sz val="10"/>
      <name val="Segoe UI"/>
      <family val="2"/>
    </font>
    <font>
      <b/>
      <sz val="11"/>
      <name val="Segoe UI"/>
      <family val="2"/>
    </font>
    <font>
      <sz val="11"/>
      <name val="Segoe UI"/>
      <family val="2"/>
    </font>
    <font>
      <b/>
      <sz val="14"/>
      <color theme="0"/>
      <name val="Segoe UI"/>
      <family val="2"/>
    </font>
    <font>
      <sz val="11"/>
      <color theme="0"/>
      <name val="Segoe UI"/>
      <family val="2"/>
    </font>
    <font>
      <b/>
      <sz val="11"/>
      <color theme="0"/>
      <name val="Segoe UI"/>
      <family val="2"/>
    </font>
    <font>
      <b/>
      <sz val="11"/>
      <color rgb="FF3F566D"/>
      <name val="Segoe UI"/>
      <family val="2"/>
    </font>
    <font>
      <i/>
      <sz val="10"/>
      <color theme="0" tint="-0.499984740745262"/>
      <name val="Segoe UI"/>
      <family val="2"/>
    </font>
    <font>
      <sz val="11"/>
      <color theme="1"/>
      <name val="Segoe UI"/>
      <family val="2"/>
    </font>
    <font>
      <b/>
      <sz val="8"/>
      <color theme="1"/>
      <name val="Segoe UI"/>
      <family val="2"/>
    </font>
    <font>
      <sz val="9"/>
      <color theme="1"/>
      <name val="Segoe UI"/>
      <family val="2"/>
    </font>
    <font>
      <sz val="5"/>
      <name val="Segoe UI"/>
      <family val="2"/>
    </font>
    <font>
      <b/>
      <sz val="10"/>
      <name val="Segoe UI"/>
      <family val="2"/>
    </font>
    <font>
      <sz val="9"/>
      <name val="Segoe UI"/>
      <family val="2"/>
    </font>
    <font>
      <b/>
      <sz val="5"/>
      <name val="Segoe UI"/>
      <family val="2"/>
    </font>
    <font>
      <b/>
      <sz val="20"/>
      <color theme="0"/>
      <name val="Segoe UI"/>
      <family val="2"/>
    </font>
    <font>
      <sz val="20"/>
      <color theme="0"/>
      <name val="Segoe UI"/>
      <family val="2"/>
    </font>
    <font>
      <sz val="14"/>
      <color theme="0"/>
      <name val="Segoe UI"/>
      <family val="2"/>
    </font>
    <font>
      <sz val="14"/>
      <name val="Segoe UI"/>
      <family val="2"/>
    </font>
    <font>
      <b/>
      <sz val="11"/>
      <color rgb="FF008AAC"/>
      <name val="Segoe UI"/>
      <family val="2"/>
    </font>
    <font>
      <sz val="8"/>
      <color theme="0" tint="-0.499984740745262"/>
      <name val="Segoe UI"/>
      <family val="2"/>
    </font>
    <font>
      <b/>
      <sz val="8"/>
      <color rgb="FFFF0000"/>
      <name val="Segoe UI"/>
      <family val="2"/>
    </font>
    <font>
      <b/>
      <sz val="20"/>
      <name val="Segoe UI"/>
      <family val="2"/>
    </font>
    <font>
      <b/>
      <sz val="24"/>
      <name val="Segoe UI"/>
      <family val="2"/>
    </font>
    <font>
      <sz val="10"/>
      <color theme="0"/>
      <name val="Segoe UI"/>
      <family val="2"/>
    </font>
    <font>
      <b/>
      <sz val="11"/>
      <color rgb="FF855092"/>
      <name val="Segoe UI"/>
      <family val="2"/>
    </font>
    <font>
      <vertAlign val="subscript"/>
      <sz val="10"/>
      <name val="Segoe UI"/>
      <family val="2"/>
    </font>
    <font>
      <sz val="8"/>
      <name val="Segoe UI"/>
      <family val="2"/>
    </font>
    <font>
      <sz val="9"/>
      <color theme="0" tint="-0.499984740745262"/>
      <name val="Segoe UI"/>
      <family val="2"/>
    </font>
    <font>
      <b/>
      <sz val="10"/>
      <color theme="0" tint="-4.9989318521683403E-2"/>
      <name val="Segoe UI"/>
      <family val="2"/>
    </font>
    <font>
      <b/>
      <sz val="11"/>
      <color rgb="FF68A200"/>
      <name val="Segoe UI"/>
      <family val="2"/>
    </font>
    <font>
      <sz val="10"/>
      <color theme="1"/>
      <name val="Segoe UI"/>
      <family val="2"/>
    </font>
    <font>
      <b/>
      <sz val="11"/>
      <color rgb="FFED7D31"/>
      <name val="Segoe UI"/>
      <family val="2"/>
    </font>
    <font>
      <b/>
      <sz val="11"/>
      <color theme="0" tint="-0.499984740745262"/>
      <name val="Segoe UI"/>
      <family val="2"/>
    </font>
    <font>
      <sz val="8"/>
      <color theme="1"/>
      <name val="Segoe UI"/>
      <family val="2"/>
    </font>
    <font>
      <sz val="24"/>
      <name val="Segoe UI"/>
      <family val="2"/>
    </font>
    <font>
      <b/>
      <sz val="18"/>
      <color theme="0"/>
      <name val="Segoe UI"/>
      <family val="2"/>
    </font>
    <font>
      <b/>
      <sz val="11"/>
      <color rgb="FF23A5D9"/>
      <name val="Segoe UI"/>
      <family val="2"/>
    </font>
    <font>
      <sz val="9"/>
      <color rgb="FFFF0000"/>
      <name val="Segoe UI"/>
      <family val="2"/>
    </font>
    <font>
      <b/>
      <sz val="10"/>
      <color theme="3"/>
      <name val="Segoe UI"/>
      <family val="2"/>
    </font>
    <font>
      <sz val="8"/>
      <color theme="3"/>
      <name val="Segoe UI"/>
      <family val="2"/>
    </font>
    <font>
      <sz val="10"/>
      <color theme="3"/>
      <name val="Segoe UI"/>
      <family val="2"/>
    </font>
    <font>
      <b/>
      <sz val="8"/>
      <color theme="3"/>
      <name val="Segoe UI"/>
      <family val="2"/>
    </font>
    <font>
      <sz val="24"/>
      <color theme="0" tint="-0.499984740745262"/>
      <name val="Segoe UI"/>
      <family val="2"/>
    </font>
    <font>
      <b/>
      <sz val="10"/>
      <color rgb="FFC9689E"/>
      <name val="Segoe UI"/>
      <family val="2"/>
    </font>
    <font>
      <b/>
      <sz val="22"/>
      <color theme="0"/>
      <name val="Segoe UI"/>
      <family val="2"/>
    </font>
    <font>
      <b/>
      <sz val="14"/>
      <name val="Segoe UI"/>
      <family val="2"/>
    </font>
    <font>
      <sz val="8"/>
      <color theme="0"/>
      <name val="Segoe UI"/>
      <family val="2"/>
    </font>
    <font>
      <sz val="8.8000000000000007"/>
      <color theme="1"/>
      <name val="Segoe UI"/>
      <family val="2"/>
    </font>
    <font>
      <b/>
      <sz val="11"/>
      <color theme="1"/>
      <name val="Segoe UI"/>
      <family val="2"/>
    </font>
    <font>
      <vertAlign val="subscript"/>
      <sz val="8"/>
      <color theme="1"/>
      <name val="Segoe UI"/>
      <family val="2"/>
    </font>
    <font>
      <sz val="18"/>
      <color theme="1"/>
      <name val="Segoe UI"/>
      <family val="2"/>
    </font>
    <font>
      <sz val="12"/>
      <color theme="0"/>
      <name val="Segoe UI"/>
      <family val="2"/>
    </font>
    <font>
      <sz val="16"/>
      <color theme="0"/>
      <name val="Segoe UI"/>
      <family val="2"/>
    </font>
    <font>
      <b/>
      <sz val="14"/>
      <color theme="1"/>
      <name val="Segoe UI"/>
      <family val="2"/>
    </font>
    <font>
      <b/>
      <sz val="16"/>
      <color theme="1"/>
      <name val="Segoe UI"/>
      <family val="2"/>
    </font>
    <font>
      <sz val="16"/>
      <color theme="1"/>
      <name val="Segoe UI"/>
      <family val="2"/>
    </font>
    <font>
      <sz val="9"/>
      <color theme="0"/>
      <name val="Segoe UI"/>
      <family val="2"/>
    </font>
    <font>
      <b/>
      <sz val="11"/>
      <color theme="2"/>
      <name val="Segoe UI"/>
      <family val="2"/>
    </font>
    <font>
      <b/>
      <sz val="10"/>
      <color theme="0"/>
      <name val="Segoe UI"/>
      <family val="2"/>
    </font>
    <font>
      <b/>
      <sz val="8"/>
      <color theme="0"/>
      <name val="Segoe UI"/>
      <family val="2"/>
    </font>
    <font>
      <sz val="5"/>
      <color theme="0" tint="-4.9989318521683403E-2"/>
      <name val="Segoe UI"/>
      <family val="2"/>
    </font>
    <font>
      <sz val="11"/>
      <color theme="0" tint="-0.249977111117893"/>
      <name val="Segoe UI"/>
      <family val="2"/>
    </font>
    <font>
      <sz val="10"/>
      <color theme="0" tint="-4.9989318521683403E-2"/>
      <name val="Segoe UI"/>
      <family val="2"/>
    </font>
    <font>
      <sz val="8"/>
      <color theme="0" tint="-4.9989318521683403E-2"/>
      <name val="Segoe UI"/>
      <family val="2"/>
    </font>
    <font>
      <sz val="8"/>
      <color theme="7" tint="0.79998168889431442"/>
      <name val="Segoe UI"/>
      <family val="2"/>
    </font>
    <font>
      <b/>
      <sz val="10"/>
      <color theme="0" tint="-0.499984740745262"/>
      <name val="Segoe UI"/>
      <family val="2"/>
    </font>
    <font>
      <sz val="5"/>
      <color theme="0"/>
      <name val="Segoe UI"/>
      <family val="2"/>
    </font>
    <font>
      <b/>
      <sz val="10"/>
      <color theme="1"/>
      <name val="Segoe UI"/>
      <family val="2"/>
    </font>
    <font>
      <b/>
      <sz val="16"/>
      <color theme="0"/>
      <name val="Segoe UI"/>
      <family val="2"/>
    </font>
    <font>
      <b/>
      <sz val="16"/>
      <name val="Segoe UI"/>
      <family val="2"/>
    </font>
    <font>
      <sz val="5"/>
      <color theme="0" tint="-0.499984740745262"/>
      <name val="Segoe UI"/>
      <family val="2"/>
    </font>
    <font>
      <sz val="11"/>
      <color theme="0"/>
      <name val="Segoe UI"/>
      <family val="2"/>
      <scheme val="minor"/>
    </font>
    <font>
      <sz val="11"/>
      <color theme="0" tint="-0.14999847407452621"/>
      <name val="Segoe UI"/>
      <family val="2"/>
      <scheme val="minor"/>
    </font>
    <font>
      <b/>
      <sz val="10"/>
      <color rgb="FF00302F"/>
      <name val="Segoe UI"/>
      <family val="2"/>
    </font>
    <font>
      <sz val="10"/>
      <color rgb="FF00302F"/>
      <name val="Segoe UI"/>
      <family val="2"/>
    </font>
    <font>
      <b/>
      <sz val="11"/>
      <color rgb="FF00302F"/>
      <name val="Segoe UI"/>
      <family val="2"/>
    </font>
    <font>
      <b/>
      <sz val="11"/>
      <color rgb="FF00827F"/>
      <name val="Segoe UI"/>
      <family val="2"/>
    </font>
    <font>
      <sz val="10"/>
      <color rgb="FF00827F"/>
      <name val="Segoe UI"/>
      <family val="2"/>
    </font>
    <font>
      <vertAlign val="subscript"/>
      <sz val="10"/>
      <color rgb="FF00827F"/>
      <name val="Aptos Narrow"/>
      <family val="2"/>
    </font>
    <font>
      <b/>
      <sz val="10"/>
      <color rgb="FF00827F"/>
      <name val="Segoe UI"/>
      <family val="2"/>
    </font>
    <font>
      <b/>
      <sz val="11"/>
      <color rgb="FF338DE9"/>
      <name val="Segoe UI"/>
      <family val="2"/>
    </font>
    <font>
      <b/>
      <sz val="10"/>
      <color rgb="FF338DE9"/>
      <name val="Segoe UI"/>
      <family val="2"/>
    </font>
    <font>
      <sz val="10"/>
      <color rgb="FF338DE9"/>
      <name val="Segoe UI"/>
      <family val="2"/>
    </font>
    <font>
      <sz val="11"/>
      <color rgb="FF3C7290"/>
      <name val="Segoe UI"/>
      <family val="2"/>
    </font>
    <font>
      <b/>
      <sz val="11"/>
      <color rgb="FF3C7290"/>
      <name val="Segoe UI"/>
      <family val="2"/>
    </font>
    <font>
      <sz val="8"/>
      <color rgb="FF3C7290"/>
      <name val="Segoe UI"/>
      <family val="2"/>
    </font>
    <font>
      <sz val="16"/>
      <color rgb="FF338DE9"/>
      <name val="Segoe UI"/>
      <family val="2"/>
    </font>
    <font>
      <b/>
      <sz val="11"/>
      <color theme="3"/>
      <name val="Segoe UI"/>
      <family val="2"/>
    </font>
    <font>
      <sz val="11"/>
      <color theme="2"/>
      <name val="Segoe UI"/>
      <family val="2"/>
    </font>
    <font>
      <sz val="10"/>
      <color theme="2"/>
      <name val="Segoe UI"/>
      <family val="2"/>
    </font>
    <font>
      <sz val="8"/>
      <color theme="2"/>
      <name val="Segoe UI"/>
      <family val="2"/>
    </font>
    <font>
      <vertAlign val="subscript"/>
      <sz val="8"/>
      <color theme="2"/>
      <name val="Aptos Narrow"/>
      <family val="2"/>
    </font>
    <font>
      <sz val="10"/>
      <color theme="4"/>
      <name val="Segoe UI"/>
      <family val="2"/>
    </font>
    <font>
      <sz val="18"/>
      <color theme="2"/>
      <name val="Segoe UI"/>
      <family val="2"/>
    </font>
    <font>
      <sz val="18"/>
      <color theme="4"/>
      <name val="Segoe UI"/>
      <family val="2"/>
    </font>
    <font>
      <b/>
      <sz val="11"/>
      <color theme="6" tint="0.39997558519241921"/>
      <name val="Segoe UI"/>
      <family val="2"/>
    </font>
    <font>
      <sz val="11"/>
      <color theme="6" tint="0.39997558519241921"/>
      <name val="Segoe UI"/>
      <family val="2"/>
    </font>
    <font>
      <sz val="11"/>
      <color theme="6"/>
      <name val="Segoe UI"/>
      <family val="2"/>
    </font>
    <font>
      <b/>
      <sz val="11"/>
      <color theme="6"/>
      <name val="Segoe UI"/>
      <family val="2"/>
    </font>
    <font>
      <b/>
      <sz val="10"/>
      <color theme="6"/>
      <name val="Segoe UI"/>
      <family val="2"/>
    </font>
    <font>
      <sz val="10"/>
      <color theme="6"/>
      <name val="Segoe UI"/>
      <family val="2"/>
    </font>
    <font>
      <b/>
      <sz val="11"/>
      <color theme="1" tint="9.9978637043366805E-2"/>
      <name val="Segoe UI"/>
      <family val="2"/>
    </font>
    <font>
      <b/>
      <sz val="11"/>
      <color theme="4"/>
      <name val="Segoe UI"/>
      <family val="2"/>
    </font>
    <font>
      <b/>
      <sz val="10"/>
      <color rgb="FF008AAC"/>
      <name val="Segoe UI"/>
      <family val="2"/>
    </font>
    <font>
      <sz val="10"/>
      <color rgb="FF008AAC"/>
      <name val="Segoe UI"/>
      <family val="2"/>
    </font>
    <font>
      <vertAlign val="subscript"/>
      <sz val="10"/>
      <color rgb="FF008AAC"/>
      <name val="Aptos Narrow"/>
      <family val="2"/>
    </font>
    <font>
      <sz val="11"/>
      <color rgb="FF008AAC"/>
      <name val="Segoe UI"/>
      <family val="2"/>
    </font>
    <font>
      <b/>
      <sz val="26"/>
      <color rgb="FF7A5C00"/>
      <name val="Segoe UI"/>
      <family val="2"/>
    </font>
    <font>
      <sz val="11"/>
      <color rgb="FFB29A33"/>
      <name val="Segoe UI"/>
      <family val="2"/>
    </font>
    <font>
      <b/>
      <sz val="11"/>
      <color rgb="FFB29A33"/>
      <name val="Segoe UI"/>
      <family val="2"/>
    </font>
    <font>
      <sz val="11"/>
      <color rgb="FF855092"/>
      <name val="Segoe UI"/>
      <family val="2"/>
    </font>
    <font>
      <b/>
      <sz val="10"/>
      <color rgb="FF855092"/>
      <name val="Segoe UI"/>
      <family val="2"/>
    </font>
    <font>
      <sz val="10"/>
      <color rgb="FF855092"/>
      <name val="Segoe UI"/>
      <family val="2"/>
    </font>
    <font>
      <vertAlign val="subscript"/>
      <sz val="10"/>
      <color rgb="FF855092"/>
      <name val="Aptos Narrow"/>
      <family val="2"/>
    </font>
    <font>
      <b/>
      <sz val="10"/>
      <color rgb="FF68A200"/>
      <name val="Segoe UI"/>
      <family val="2"/>
    </font>
    <font>
      <sz val="10"/>
      <color rgb="FF68A200"/>
      <name val="Segoe UI"/>
      <family val="2"/>
    </font>
    <font>
      <vertAlign val="subscript"/>
      <sz val="10"/>
      <color rgb="FF68A200"/>
      <name val="Aptos Narrow"/>
      <family val="2"/>
    </font>
    <font>
      <sz val="11"/>
      <color rgb="FF68A200"/>
      <name val="Segoe UI"/>
      <family val="2"/>
    </font>
    <font>
      <b/>
      <sz val="10"/>
      <color rgb="FFED7D31"/>
      <name val="Segoe UI"/>
      <family val="2"/>
    </font>
    <font>
      <sz val="10"/>
      <color rgb="FFED7D31"/>
      <name val="Segoe UI"/>
      <family val="2"/>
    </font>
    <font>
      <vertAlign val="subscript"/>
      <sz val="10"/>
      <color rgb="FFED7D31"/>
      <name val="Aptos Narrow"/>
      <family val="2"/>
    </font>
    <font>
      <sz val="11"/>
      <color rgb="FFED7D31"/>
      <name val="Segoe UI"/>
      <family val="2"/>
    </font>
    <font>
      <vertAlign val="subscript"/>
      <sz val="10"/>
      <color theme="0" tint="-0.499984740745262"/>
      <name val="Aptos Narrow"/>
      <family val="2"/>
    </font>
    <font>
      <b/>
      <sz val="11"/>
      <color rgb="FF4298BA"/>
      <name val="Segoe UI"/>
      <family val="2"/>
    </font>
    <font>
      <sz val="10"/>
      <color theme="0" tint="-0.14999847407452621"/>
      <name val="Segoe UI"/>
      <family val="2"/>
    </font>
    <font>
      <b/>
      <sz val="18"/>
      <color theme="2"/>
      <name val="Segoe UI"/>
      <family val="2"/>
    </font>
    <font>
      <b/>
      <sz val="24"/>
      <color theme="2"/>
      <name val="Segoe UI"/>
      <family val="2"/>
    </font>
    <font>
      <b/>
      <sz val="22"/>
      <color rgb="FF00827F"/>
      <name val="Segoe UI"/>
      <family val="2"/>
    </font>
    <font>
      <b/>
      <sz val="26"/>
      <color theme="0"/>
      <name val="Segoe UI"/>
      <family val="2"/>
    </font>
    <font>
      <i/>
      <sz val="14"/>
      <color theme="0"/>
      <name val="Segoe UI"/>
      <family val="2"/>
    </font>
    <font>
      <b/>
      <sz val="22"/>
      <color rgb="FF338DE9"/>
      <name val="Segoe UI"/>
      <family val="2"/>
    </font>
    <font>
      <b/>
      <sz val="22"/>
      <color theme="3"/>
      <name val="Segoe UI"/>
      <family val="2"/>
    </font>
    <font>
      <b/>
      <sz val="22"/>
      <color theme="6" tint="0.39997558519241921"/>
      <name val="Segoe UI"/>
      <family val="2"/>
    </font>
    <font>
      <b/>
      <sz val="22"/>
      <color rgb="FF008AAC"/>
      <name val="Segoe UI"/>
      <family val="2"/>
    </font>
    <font>
      <b/>
      <sz val="22"/>
      <color rgb="FF855092"/>
      <name val="Segoe UI"/>
      <family val="2"/>
    </font>
    <font>
      <b/>
      <sz val="22"/>
      <color rgb="FF68A200"/>
      <name val="Segoe UI"/>
      <family val="2"/>
    </font>
    <font>
      <b/>
      <sz val="22"/>
      <color rgb="FFED7D31"/>
      <name val="Segoe UI"/>
      <family val="2"/>
    </font>
    <font>
      <b/>
      <sz val="22"/>
      <color theme="0" tint="-0.499984740745262"/>
      <name val="Segoe UI"/>
      <family val="2"/>
    </font>
    <font>
      <b/>
      <sz val="16"/>
      <color theme="2"/>
      <name val="Segoe UI"/>
      <family val="2"/>
    </font>
    <font>
      <b/>
      <sz val="16"/>
      <color theme="3"/>
      <name val="Segoe UI"/>
      <family val="2"/>
    </font>
    <font>
      <b/>
      <sz val="16"/>
      <color rgb="FF855092"/>
      <name val="Segoe UI"/>
      <family val="2"/>
    </font>
    <font>
      <b/>
      <sz val="24"/>
      <color theme="1"/>
      <name val="Segoe UI"/>
      <family val="2"/>
      <scheme val="minor"/>
    </font>
    <font>
      <b/>
      <sz val="11"/>
      <color theme="6"/>
      <name val="Segoe UI"/>
      <family val="2"/>
      <scheme val="minor"/>
    </font>
    <font>
      <sz val="11"/>
      <color theme="6"/>
      <name val="Segoe UI"/>
      <family val="2"/>
      <scheme val="minor"/>
    </font>
    <font>
      <b/>
      <sz val="9"/>
      <color theme="3"/>
      <name val="Segoe UI"/>
      <family val="2"/>
    </font>
    <font>
      <b/>
      <sz val="5"/>
      <color theme="3"/>
      <name val="Segoe UI"/>
      <family val="2"/>
    </font>
    <font>
      <b/>
      <sz val="14"/>
      <color theme="3"/>
      <name val="Segoe UI"/>
      <family val="2"/>
    </font>
    <font>
      <b/>
      <sz val="24"/>
      <color theme="3"/>
      <name val="Segoe UI"/>
      <family val="2"/>
    </font>
    <font>
      <b/>
      <sz val="10"/>
      <color theme="4"/>
      <name val="Segoe UI"/>
      <family val="2"/>
    </font>
    <font>
      <sz val="11"/>
      <color theme="4"/>
      <name val="Segoe UI"/>
      <family val="2"/>
    </font>
    <font>
      <b/>
      <sz val="16"/>
      <color rgb="FF338DE9"/>
      <name val="Segoe UI"/>
      <family val="2"/>
    </font>
    <font>
      <sz val="9"/>
      <color theme="3"/>
      <name val="Segoe UI"/>
      <family val="2"/>
    </font>
    <font>
      <b/>
      <sz val="18"/>
      <color theme="4"/>
      <name val="Segoe UI"/>
      <family val="2"/>
    </font>
    <font>
      <b/>
      <sz val="10"/>
      <color theme="2"/>
      <name val="Segoe UI"/>
      <family val="2"/>
    </font>
    <font>
      <b/>
      <sz val="18"/>
      <color rgb="FF008AAC"/>
      <name val="Segoe UI"/>
      <family val="2"/>
    </font>
    <font>
      <b/>
      <sz val="18"/>
      <color theme="1"/>
      <name val="Segoe UI"/>
      <family val="2"/>
    </font>
    <font>
      <b/>
      <sz val="18"/>
      <color rgb="FFB29A33"/>
      <name val="Segoe UI"/>
      <family val="2"/>
    </font>
    <font>
      <b/>
      <sz val="18"/>
      <color rgb="FF855092"/>
      <name val="Segoe UI"/>
      <family val="2"/>
    </font>
    <font>
      <b/>
      <sz val="18"/>
      <color rgb="FF68A200"/>
      <name val="Segoe UI"/>
      <family val="2"/>
    </font>
    <font>
      <b/>
      <sz val="18"/>
      <color rgb="FFED7D31"/>
      <name val="Segoe UI"/>
      <family val="2"/>
    </font>
    <font>
      <b/>
      <sz val="18"/>
      <color theme="0" tint="-0.499984740745262"/>
      <name val="Segoe UI"/>
      <family val="2"/>
    </font>
    <font>
      <sz val="10"/>
      <color rgb="FFB29A33"/>
      <name val="Segoe UI"/>
      <family val="2"/>
    </font>
    <font>
      <sz val="9"/>
      <color rgb="FFB29A33"/>
      <name val="Segoe UI"/>
      <family val="2"/>
    </font>
    <font>
      <i/>
      <sz val="10"/>
      <color rgb="FFB29A33"/>
      <name val="Segoe UI"/>
      <family val="2"/>
    </font>
    <font>
      <b/>
      <sz val="8"/>
      <color rgb="FFB29A33"/>
      <name val="Segoe UI"/>
      <family val="2"/>
    </font>
    <font>
      <b/>
      <sz val="9"/>
      <color rgb="FFB29A33"/>
      <name val="Segoe UI"/>
      <family val="2"/>
    </font>
    <font>
      <b/>
      <sz val="10"/>
      <color rgb="FFB29A33"/>
      <name val="Segoe UI"/>
      <family val="2"/>
    </font>
    <font>
      <b/>
      <sz val="18"/>
      <color theme="6" tint="0.39997558519241921"/>
      <name val="Segoe UI"/>
      <family val="2"/>
    </font>
    <font>
      <sz val="10"/>
      <color theme="6" tint="0.39997558519241921"/>
      <name val="Segoe UI"/>
      <family val="2"/>
    </font>
    <font>
      <sz val="18"/>
      <color theme="6" tint="0.39997558519241921"/>
      <name val="Segoe UI"/>
      <family val="2"/>
    </font>
    <font>
      <b/>
      <sz val="22"/>
      <color rgb="FFB29A33"/>
      <name val="Segoe UI"/>
      <family val="2"/>
    </font>
    <font>
      <vertAlign val="subscript"/>
      <sz val="10"/>
      <color rgb="FFB29A33"/>
      <name val="Aptos Narrow"/>
      <family val="2"/>
    </font>
    <font>
      <sz val="5"/>
      <color rgb="FFFF0000"/>
      <name val="Segoe UI"/>
      <family val="2"/>
    </font>
    <font>
      <sz val="5"/>
      <color theme="3"/>
      <name val="Segoe UI"/>
      <family val="2"/>
    </font>
    <font>
      <sz val="11"/>
      <color theme="3"/>
      <name val="Segoe UI"/>
      <family val="2"/>
    </font>
    <font>
      <sz val="14"/>
      <color theme="3"/>
      <name val="Segoe UI"/>
      <family val="2"/>
    </font>
    <font>
      <b/>
      <sz val="10"/>
      <color rgb="FFFF0000"/>
      <name val="Segoe UI"/>
      <family val="2"/>
    </font>
    <font>
      <b/>
      <sz val="8"/>
      <color theme="0" tint="-0.499984740745262"/>
      <name val="Segoe UI"/>
      <family val="2"/>
    </font>
    <font>
      <sz val="14"/>
      <color rgb="FF855092"/>
      <name val="Segoe UI"/>
      <family val="2"/>
    </font>
    <font>
      <sz val="9"/>
      <color indexed="81"/>
      <name val="Tahoma"/>
      <family val="2"/>
    </font>
    <font>
      <b/>
      <sz val="9"/>
      <color indexed="81"/>
      <name val="Tahoma"/>
      <family val="2"/>
    </font>
    <font>
      <b/>
      <sz val="16"/>
      <color theme="0" tint="-0.499984740745262"/>
      <name val="Segoe UI"/>
      <family val="2"/>
    </font>
    <font>
      <b/>
      <sz val="24"/>
      <color theme="0" tint="-0.499984740745262"/>
      <name val="Segoe UI"/>
      <family val="2"/>
    </font>
    <font>
      <sz val="14"/>
      <color theme="0" tint="-0.499984740745262"/>
      <name val="Segoe UI"/>
      <family val="2"/>
    </font>
    <font>
      <b/>
      <sz val="14"/>
      <color theme="0" tint="-0.499984740745262"/>
      <name val="Segoe UI"/>
      <family val="2"/>
    </font>
    <font>
      <b/>
      <sz val="20"/>
      <color theme="0" tint="-0.499984740745262"/>
      <name val="Segoe UI"/>
      <family val="2"/>
    </font>
    <font>
      <sz val="22"/>
      <color theme="0"/>
      <name val="Segoe UI"/>
      <family val="2"/>
    </font>
    <font>
      <b/>
      <sz val="22"/>
      <color rgb="FF7A5C00"/>
      <name val="Segoe UI"/>
      <family val="2"/>
    </font>
    <font>
      <sz val="22"/>
      <color rgb="FF7A5C00"/>
      <name val="Segoe UI"/>
      <family val="2"/>
    </font>
    <font>
      <sz val="10"/>
      <color rgb="FF00302F"/>
      <name val="Segoe UI"/>
      <family val="2"/>
    </font>
    <font>
      <b/>
      <sz val="10"/>
      <color rgb="FF00302F"/>
      <name val="Segoe UI"/>
      <family val="2"/>
    </font>
    <font>
      <sz val="11"/>
      <color rgb="FF3C7290"/>
      <name val="Segoe UI"/>
      <family val="2"/>
    </font>
    <font>
      <b/>
      <sz val="11"/>
      <color rgb="FF3C7290"/>
      <name val="Segoe UI"/>
      <family val="2"/>
    </font>
    <font>
      <sz val="11"/>
      <color theme="2"/>
      <name val="Segoe UI"/>
      <family val="2"/>
    </font>
    <font>
      <b/>
      <sz val="11"/>
      <color theme="2"/>
      <name val="Segoe UI"/>
      <family val="2"/>
    </font>
    <font>
      <sz val="11"/>
      <color theme="6"/>
      <name val="Segoe UI"/>
      <family val="2"/>
    </font>
    <font>
      <b/>
      <sz val="11"/>
      <color theme="6"/>
      <name val="Segoe UI"/>
      <family val="2"/>
    </font>
    <font>
      <sz val="11"/>
      <color theme="1"/>
      <name val="Segoe UI"/>
      <family val="2"/>
    </font>
    <font>
      <b/>
      <sz val="14"/>
      <color theme="2"/>
      <name val="Segoe UI"/>
      <family val="2"/>
    </font>
    <font>
      <sz val="10"/>
      <color rgb="FFFF0000"/>
      <name val="Segoe UI"/>
      <family val="2"/>
    </font>
    <font>
      <b/>
      <sz val="5"/>
      <color theme="0"/>
      <name val="Segoe UI"/>
      <family val="2"/>
    </font>
    <font>
      <vertAlign val="subscript"/>
      <sz val="10"/>
      <color theme="1"/>
      <name val="Segoe UI"/>
      <family val="2"/>
    </font>
    <font>
      <sz val="16"/>
      <color rgb="FFFFFF00"/>
      <name val="Segoe UI"/>
      <family val="2"/>
    </font>
  </fonts>
  <fills count="43">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FFFFFF"/>
        <bgColor rgb="FF000000"/>
      </patternFill>
    </fill>
    <fill>
      <patternFill patternType="solid">
        <fgColor theme="5" tint="0.89999084444715716"/>
        <bgColor indexed="64"/>
      </patternFill>
    </fill>
    <fill>
      <patternFill patternType="solid">
        <fgColor theme="0" tint="-0.499984740745262"/>
        <bgColor indexed="64"/>
      </patternFill>
    </fill>
    <fill>
      <patternFill patternType="solid">
        <fgColor rgb="FF008AAC"/>
        <bgColor indexed="64"/>
      </patternFill>
    </fill>
    <fill>
      <patternFill patternType="solid">
        <fgColor rgb="FFFFD44B"/>
        <bgColor indexed="64"/>
      </patternFill>
    </fill>
    <fill>
      <patternFill patternType="solid">
        <fgColor rgb="FF855092"/>
        <bgColor indexed="64"/>
      </patternFill>
    </fill>
    <fill>
      <patternFill patternType="solid">
        <fgColor rgb="FF68A200"/>
        <bgColor indexed="64"/>
      </patternFill>
    </fill>
    <fill>
      <patternFill patternType="solid">
        <fgColor rgb="FFED7D31"/>
        <bgColor indexed="64"/>
      </patternFill>
    </fill>
    <fill>
      <patternFill patternType="solid">
        <fgColor rgb="FFEEE4F0"/>
        <bgColor indexed="64"/>
      </patternFill>
    </fill>
    <fill>
      <patternFill patternType="solid">
        <fgColor theme="0" tint="-4.9989318521683403E-2"/>
        <bgColor indexed="64"/>
      </patternFill>
    </fill>
    <fill>
      <patternFill patternType="solid">
        <fgColor rgb="FFE6F3F7"/>
        <bgColor indexed="64"/>
      </patternFill>
    </fill>
    <fill>
      <patternFill patternType="solid">
        <fgColor rgb="FFFFF6DB"/>
        <bgColor indexed="64"/>
      </patternFill>
    </fill>
    <fill>
      <patternFill patternType="solid">
        <fgColor rgb="FFE7DCE9"/>
        <bgColor indexed="64"/>
      </patternFill>
    </fill>
    <fill>
      <patternFill patternType="solid">
        <fgColor rgb="FFE1ECCC"/>
        <bgColor indexed="64"/>
      </patternFill>
    </fill>
    <fill>
      <patternFill patternType="solid">
        <fgColor rgb="FFFFFF00"/>
        <bgColor indexed="64"/>
      </patternFill>
    </fill>
    <fill>
      <patternFill patternType="solid">
        <fgColor rgb="FF338DE9"/>
        <bgColor indexed="64"/>
      </patternFill>
    </fill>
    <fill>
      <patternFill patternType="solid">
        <fgColor rgb="FFD6E8FB"/>
        <bgColor indexed="64"/>
      </patternFill>
    </fill>
    <fill>
      <patternFill patternType="solid">
        <fgColor rgb="FF00BDA2"/>
        <bgColor indexed="64"/>
      </patternFill>
    </fill>
    <fill>
      <patternFill patternType="solid">
        <fgColor rgb="FF00302F"/>
        <bgColor indexed="64"/>
      </patternFill>
    </fill>
    <fill>
      <patternFill patternType="solid">
        <fgColor rgb="FFCCDFDF"/>
        <bgColor indexed="64"/>
      </patternFill>
    </fill>
    <fill>
      <patternFill patternType="solid">
        <fgColor rgb="FFFFDDD8"/>
        <bgColor indexed="64"/>
      </patternFill>
    </fill>
    <fill>
      <patternFill patternType="solid">
        <fgColor rgb="FFADD1F6"/>
        <bgColor indexed="64"/>
      </patternFill>
    </fill>
    <fill>
      <patternFill patternType="solid">
        <fgColor rgb="FF99E5DA"/>
        <bgColor indexed="64"/>
      </patternFill>
    </fill>
    <fill>
      <patternFill patternType="solid">
        <fgColor theme="3"/>
        <bgColor indexed="64"/>
      </patternFill>
    </fill>
    <fill>
      <patternFill patternType="solid">
        <fgColor theme="1"/>
        <bgColor indexed="64"/>
      </patternFill>
    </fill>
    <fill>
      <patternFill patternType="solid">
        <fgColor rgb="FFCCF2EC"/>
        <bgColor indexed="64"/>
      </patternFill>
    </fill>
    <fill>
      <patternFill patternType="solid">
        <fgColor theme="6" tint="0.39997558519241921"/>
        <bgColor indexed="64"/>
      </patternFill>
    </fill>
    <fill>
      <patternFill patternType="solid">
        <fgColor rgb="FFFFEEEB"/>
        <bgColor indexed="64"/>
      </patternFill>
    </fill>
    <fill>
      <patternFill patternType="solid">
        <fgColor theme="4"/>
        <bgColor indexed="64"/>
      </patternFill>
    </fill>
    <fill>
      <patternFill patternType="solid">
        <fgColor rgb="FFFFED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7A64"/>
        <bgColor indexed="64"/>
      </patternFill>
    </fill>
    <fill>
      <patternFill patternType="solid">
        <fgColor theme="7"/>
        <bgColor indexed="64"/>
      </patternFill>
    </fill>
    <fill>
      <patternFill patternType="solid">
        <fgColor rgb="FFFFFF99"/>
        <bgColor indexed="64"/>
      </patternFill>
    </fill>
    <fill>
      <patternFill patternType="solid">
        <fgColor rgb="FFC2A8C8"/>
        <bgColor indexed="64"/>
      </patternFill>
    </fill>
    <fill>
      <patternFill patternType="solid">
        <fgColor theme="7" tint="-0.249977111117893"/>
        <bgColor indexed="64"/>
      </patternFill>
    </fill>
  </fills>
  <borders count="101">
    <border>
      <left/>
      <right/>
      <top/>
      <bottom/>
      <diagonal/>
    </border>
    <border>
      <left/>
      <right/>
      <top/>
      <bottom style="thick">
        <color indexed="64"/>
      </bottom>
      <diagonal/>
    </border>
    <border>
      <left/>
      <right style="thin">
        <color theme="0" tint="-0.249977111117893"/>
      </right>
      <top/>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ck">
        <color indexed="64"/>
      </right>
      <top/>
      <bottom/>
      <diagonal/>
    </border>
    <border>
      <left/>
      <right/>
      <top/>
      <bottom style="thin">
        <color theme="0"/>
      </bottom>
      <diagonal/>
    </border>
    <border>
      <left/>
      <right style="thick">
        <color theme="1"/>
      </right>
      <top/>
      <bottom/>
      <diagonal/>
    </border>
    <border>
      <left/>
      <right style="thick">
        <color theme="0"/>
      </right>
      <top/>
      <bottom/>
      <diagonal/>
    </border>
    <border>
      <left/>
      <right style="thick">
        <color theme="0"/>
      </right>
      <top/>
      <bottom style="thin">
        <color theme="0" tint="-0.249977111117893"/>
      </bottom>
      <diagonal/>
    </border>
    <border>
      <left/>
      <right/>
      <top/>
      <bottom style="thick">
        <color theme="0"/>
      </bottom>
      <diagonal/>
    </border>
    <border>
      <left style="thick">
        <color theme="0"/>
      </left>
      <right style="thick">
        <color theme="0"/>
      </right>
      <top style="thick">
        <color theme="0"/>
      </top>
      <bottom style="thick">
        <color theme="0"/>
      </bottom>
      <diagonal/>
    </border>
    <border>
      <left/>
      <right/>
      <top style="thick">
        <color theme="0"/>
      </top>
      <bottom/>
      <diagonal/>
    </border>
    <border>
      <left/>
      <right style="thick">
        <color theme="0"/>
      </right>
      <top style="thick">
        <color theme="0"/>
      </top>
      <bottom/>
      <diagonal/>
    </border>
    <border>
      <left/>
      <right style="thick">
        <color theme="0"/>
      </right>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theme="0" tint="-0.249977111117893"/>
      </bottom>
      <diagonal/>
    </border>
    <border>
      <left/>
      <right/>
      <top style="thick">
        <color theme="0"/>
      </top>
      <bottom style="thin">
        <color theme="0" tint="-0.249977111117893"/>
      </bottom>
      <diagonal/>
    </border>
    <border>
      <left/>
      <right style="thick">
        <color theme="0"/>
      </right>
      <top style="thick">
        <color theme="0"/>
      </top>
      <bottom style="thin">
        <color theme="0" tint="-0.249977111117893"/>
      </bottom>
      <diagonal/>
    </border>
    <border>
      <left/>
      <right style="thin">
        <color theme="0"/>
      </right>
      <top/>
      <bottom/>
      <diagonal/>
    </border>
    <border>
      <left/>
      <right style="thin">
        <color theme="0"/>
      </right>
      <top/>
      <bottom style="thick">
        <color theme="0"/>
      </bottom>
      <diagonal/>
    </border>
    <border>
      <left/>
      <right style="thin">
        <color theme="0"/>
      </right>
      <top style="thick">
        <color theme="0"/>
      </top>
      <bottom style="thick">
        <color theme="0"/>
      </bottom>
      <diagonal/>
    </border>
    <border>
      <left/>
      <right style="thin">
        <color theme="0"/>
      </right>
      <top style="thick">
        <color theme="0"/>
      </top>
      <bottom/>
      <diagonal/>
    </border>
    <border>
      <left/>
      <right style="thin">
        <color theme="0"/>
      </right>
      <top style="thick">
        <color theme="0"/>
      </top>
      <bottom style="thin">
        <color theme="0" tint="-0.249977111117893"/>
      </bottom>
      <diagonal/>
    </border>
    <border>
      <left/>
      <right style="thin">
        <color theme="0"/>
      </right>
      <top/>
      <bottom style="thin">
        <color theme="0" tint="-0.249977111117893"/>
      </bottom>
      <diagonal/>
    </border>
    <border>
      <left style="thick">
        <color theme="0"/>
      </left>
      <right/>
      <top/>
      <bottom/>
      <diagonal/>
    </border>
    <border>
      <left style="thin">
        <color theme="0"/>
      </left>
      <right/>
      <top/>
      <bottom/>
      <diagonal/>
    </border>
    <border>
      <left style="thin">
        <color theme="0"/>
      </left>
      <right/>
      <top/>
      <bottom style="thick">
        <color theme="0"/>
      </bottom>
      <diagonal/>
    </border>
    <border>
      <left/>
      <right style="thin">
        <color rgb="FFADD1F6"/>
      </right>
      <top style="thick">
        <color theme="0"/>
      </top>
      <bottom/>
      <diagonal/>
    </border>
    <border>
      <left/>
      <right style="thin">
        <color rgb="FFADD1F6"/>
      </right>
      <top/>
      <bottom/>
      <diagonal/>
    </border>
    <border>
      <left/>
      <right/>
      <top/>
      <bottom style="thin">
        <color rgb="FFADD1F6"/>
      </bottom>
      <diagonal/>
    </border>
    <border>
      <left/>
      <right style="thin">
        <color rgb="FFADD1F6"/>
      </right>
      <top/>
      <bottom style="thin">
        <color rgb="FFADD1F6"/>
      </bottom>
      <diagonal/>
    </border>
    <border>
      <left/>
      <right style="thin">
        <color rgb="FFADD1F6"/>
      </right>
      <top/>
      <bottom style="thick">
        <color theme="0"/>
      </bottom>
      <diagonal/>
    </border>
    <border>
      <left/>
      <right style="thin">
        <color rgb="FFCCF2EC"/>
      </right>
      <top style="thick">
        <color theme="0"/>
      </top>
      <bottom/>
      <diagonal/>
    </border>
    <border>
      <left/>
      <right style="thin">
        <color rgb="FFCCF2EC"/>
      </right>
      <top/>
      <bottom/>
      <diagonal/>
    </border>
    <border>
      <left/>
      <right style="thin">
        <color rgb="FF99E5DA"/>
      </right>
      <top style="thick">
        <color theme="0"/>
      </top>
      <bottom/>
      <diagonal/>
    </border>
    <border>
      <left/>
      <right style="thin">
        <color rgb="FF99E5DA"/>
      </right>
      <top/>
      <bottom/>
      <diagonal/>
    </border>
    <border>
      <left/>
      <right style="thin">
        <color rgb="FF99E5DA"/>
      </right>
      <top/>
      <bottom style="thick">
        <color theme="0"/>
      </bottom>
      <diagonal/>
    </border>
    <border>
      <left style="thin">
        <color rgb="FF99E5DA"/>
      </left>
      <right/>
      <top/>
      <bottom/>
      <diagonal/>
    </border>
    <border>
      <left/>
      <right/>
      <top/>
      <bottom style="thin">
        <color rgb="FF99E5DA"/>
      </bottom>
      <diagonal/>
    </border>
    <border>
      <left/>
      <right style="thin">
        <color rgb="FFCCF2EC"/>
      </right>
      <top/>
      <bottom style="thin">
        <color rgb="FF99E5DA"/>
      </bottom>
      <diagonal/>
    </border>
    <border>
      <left/>
      <right style="thin">
        <color rgb="FF99E5DA"/>
      </right>
      <top/>
      <bottom style="thin">
        <color rgb="FF99E5DA"/>
      </bottom>
      <diagonal/>
    </border>
    <border>
      <left/>
      <right/>
      <top style="thin">
        <color rgb="FF99E5DA"/>
      </top>
      <bottom style="thin">
        <color rgb="FF99E5DA"/>
      </bottom>
      <diagonal/>
    </border>
    <border>
      <left/>
      <right style="thin">
        <color rgb="FFCCF2EC"/>
      </right>
      <top style="thin">
        <color rgb="FF99E5DA"/>
      </top>
      <bottom style="thin">
        <color rgb="FF99E5DA"/>
      </bottom>
      <diagonal/>
    </border>
    <border>
      <left/>
      <right style="thin">
        <color rgb="FF99E5DA"/>
      </right>
      <top style="thin">
        <color rgb="FF99E5DA"/>
      </top>
      <bottom style="thin">
        <color rgb="FF99E5DA"/>
      </bottom>
      <diagonal/>
    </border>
    <border>
      <left style="thin">
        <color rgb="FFADD1F6"/>
      </left>
      <right/>
      <top/>
      <bottom/>
      <diagonal/>
    </border>
    <border>
      <left/>
      <right style="thin">
        <color theme="6" tint="0.79998168889431442"/>
      </right>
      <top/>
      <bottom/>
      <diagonal/>
    </border>
    <border>
      <left/>
      <right/>
      <top/>
      <bottom style="thin">
        <color theme="6" tint="0.79998168889431442"/>
      </bottom>
      <diagonal/>
    </border>
    <border>
      <left/>
      <right style="thin">
        <color theme="6" tint="0.79998168889431442"/>
      </right>
      <top/>
      <bottom style="thin">
        <color theme="6" tint="0.79998168889431442"/>
      </bottom>
      <diagonal/>
    </border>
    <border>
      <left/>
      <right style="thin">
        <color rgb="FF99CDCC"/>
      </right>
      <top style="thick">
        <color theme="0"/>
      </top>
      <bottom/>
      <diagonal/>
    </border>
    <border>
      <left/>
      <right style="thin">
        <color rgb="FF99CDCC"/>
      </right>
      <top/>
      <bottom/>
      <diagonal/>
    </border>
    <border>
      <left/>
      <right/>
      <top/>
      <bottom style="thin">
        <color rgb="FF99CDCC"/>
      </bottom>
      <diagonal/>
    </border>
    <border>
      <left/>
      <right style="thin">
        <color rgb="FF99CDCC"/>
      </right>
      <top/>
      <bottom style="thin">
        <color rgb="FF99CDCC"/>
      </bottom>
      <diagonal/>
    </border>
    <border>
      <left/>
      <right/>
      <top style="thin">
        <color rgb="FF99CDCC"/>
      </top>
      <bottom style="thin">
        <color rgb="FF99CDCC"/>
      </bottom>
      <diagonal/>
    </border>
    <border>
      <left/>
      <right style="thin">
        <color rgb="FF99CDCC"/>
      </right>
      <top style="thin">
        <color rgb="FF99CDCC"/>
      </top>
      <bottom style="thin">
        <color rgb="FF99CDCC"/>
      </bottom>
      <diagonal/>
    </border>
    <border>
      <left/>
      <right style="thin">
        <color rgb="FFCCE8EE"/>
      </right>
      <top style="thick">
        <color theme="0"/>
      </top>
      <bottom/>
      <diagonal/>
    </border>
    <border>
      <left/>
      <right style="thin">
        <color rgb="FFCCE8EE"/>
      </right>
      <top/>
      <bottom/>
      <diagonal/>
    </border>
    <border>
      <left/>
      <right/>
      <top/>
      <bottom style="thin">
        <color rgb="FFCCE8EE"/>
      </bottom>
      <diagonal/>
    </border>
    <border>
      <left/>
      <right style="thin">
        <color rgb="FFCCE8EE"/>
      </right>
      <top/>
      <bottom style="thin">
        <color rgb="FFCCE8EE"/>
      </bottom>
      <diagonal/>
    </border>
    <border>
      <left/>
      <right/>
      <top style="thin">
        <color rgb="FFCCE8EE"/>
      </top>
      <bottom style="thin">
        <color rgb="FFCCE8EE"/>
      </bottom>
      <diagonal/>
    </border>
    <border>
      <left/>
      <right style="thin">
        <color rgb="FFCCE8EE"/>
      </right>
      <top style="thin">
        <color rgb="FFCCE8EE"/>
      </top>
      <bottom style="thin">
        <color rgb="FFCCE8EE"/>
      </bottom>
      <diagonal/>
    </border>
    <border>
      <left/>
      <right style="thin">
        <color rgb="FFFFEAA5"/>
      </right>
      <top style="thick">
        <color theme="0"/>
      </top>
      <bottom/>
      <diagonal/>
    </border>
    <border>
      <left/>
      <right style="thin">
        <color rgb="FFFFEAA5"/>
      </right>
      <top/>
      <bottom/>
      <diagonal/>
    </border>
    <border>
      <left/>
      <right style="thin">
        <color rgb="FFFFEAA5"/>
      </right>
      <top/>
      <bottom style="thin">
        <color rgb="FFFFEAA5"/>
      </bottom>
      <diagonal/>
    </border>
    <border>
      <left/>
      <right/>
      <top/>
      <bottom style="thin">
        <color rgb="FFFFEAA5"/>
      </bottom>
      <diagonal/>
    </border>
    <border>
      <left style="thin">
        <color rgb="FFFFEAA5"/>
      </left>
      <right/>
      <top/>
      <bottom style="thin">
        <color rgb="FFFFEAA5"/>
      </bottom>
      <diagonal/>
    </border>
    <border>
      <left/>
      <right style="thin">
        <color rgb="FFE0D3E4"/>
      </right>
      <top style="thick">
        <color theme="0"/>
      </top>
      <bottom/>
      <diagonal/>
    </border>
    <border>
      <left/>
      <right style="thin">
        <color rgb="FFE0D3E4"/>
      </right>
      <top/>
      <bottom/>
      <diagonal/>
    </border>
    <border>
      <left/>
      <right style="thin">
        <color rgb="FFE0D3E4"/>
      </right>
      <top/>
      <bottom style="thin">
        <color rgb="FFE0D3E4"/>
      </bottom>
      <diagonal/>
    </border>
    <border>
      <left/>
      <right/>
      <top/>
      <bottom style="thin">
        <color rgb="FFE0D3E4"/>
      </bottom>
      <diagonal/>
    </border>
    <border>
      <left/>
      <right/>
      <top style="thin">
        <color rgb="FFE0D3E4"/>
      </top>
      <bottom style="thin">
        <color rgb="FFE0D3E4"/>
      </bottom>
      <diagonal/>
    </border>
    <border>
      <left/>
      <right style="thin">
        <color rgb="FFE0D3E4"/>
      </right>
      <top style="thin">
        <color rgb="FFE0D3E4"/>
      </top>
      <bottom style="thin">
        <color rgb="FFE0D3E4"/>
      </bottom>
      <diagonal/>
    </border>
    <border>
      <left style="thin">
        <color theme="0"/>
      </left>
      <right/>
      <top/>
      <bottom style="thin">
        <color theme="0"/>
      </bottom>
      <diagonal/>
    </border>
    <border>
      <left/>
      <right style="thin">
        <color theme="0"/>
      </right>
      <top/>
      <bottom style="thin">
        <color theme="0"/>
      </bottom>
      <diagonal/>
    </border>
    <border>
      <left/>
      <right style="thin">
        <color rgb="FFC3DA99"/>
      </right>
      <top/>
      <bottom/>
      <diagonal/>
    </border>
    <border>
      <left/>
      <right style="thin">
        <color rgb="FFC3DA99"/>
      </right>
      <top style="thick">
        <color theme="0"/>
      </top>
      <bottom/>
      <diagonal/>
    </border>
    <border>
      <left/>
      <right/>
      <top/>
      <bottom style="thin">
        <color rgb="FFC3DA99"/>
      </bottom>
      <diagonal/>
    </border>
    <border>
      <left/>
      <right style="thin">
        <color rgb="FFC3DA99"/>
      </right>
      <top/>
      <bottom style="thin">
        <color rgb="FFC3DA99"/>
      </bottom>
      <diagonal/>
    </border>
    <border>
      <left/>
      <right style="thin">
        <color rgb="FFF8CBAD"/>
      </right>
      <top style="thick">
        <color theme="0"/>
      </top>
      <bottom/>
      <diagonal/>
    </border>
    <border>
      <left/>
      <right style="thin">
        <color rgb="FFF8CBAD"/>
      </right>
      <top/>
      <bottom/>
      <diagonal/>
    </border>
    <border>
      <left/>
      <right/>
      <top/>
      <bottom style="thin">
        <color rgb="FFF8CBAD"/>
      </bottom>
      <diagonal/>
    </border>
    <border>
      <left/>
      <right style="thin">
        <color rgb="FFF8CBAD"/>
      </right>
      <top/>
      <bottom style="thin">
        <color rgb="FFF8CBAD"/>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ck">
        <color indexed="64"/>
      </left>
      <right/>
      <top/>
      <bottom style="thick">
        <color indexed="64"/>
      </bottom>
      <diagonal/>
    </border>
    <border>
      <left/>
      <right/>
      <top/>
      <bottom style="thin">
        <color theme="4" tint="0.59999389629810485"/>
      </bottom>
      <diagonal/>
    </border>
    <border>
      <left/>
      <right/>
      <top style="thin">
        <color theme="4" tint="0.59999389629810485"/>
      </top>
      <bottom style="thin">
        <color theme="4" tint="0.59999389629810485"/>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ck">
        <color indexed="64"/>
      </bottom>
      <diagonal/>
    </border>
    <border>
      <left/>
      <right style="thin">
        <color indexed="64"/>
      </right>
      <top style="thick">
        <color indexed="64"/>
      </top>
      <bottom/>
      <diagonal/>
    </border>
    <border>
      <left/>
      <right/>
      <top style="thick">
        <color indexed="64"/>
      </top>
      <bottom/>
      <diagonal/>
    </border>
    <border>
      <left/>
      <right/>
      <top style="thin">
        <color theme="4" tint="0.59999389629810485"/>
      </top>
      <bottom/>
      <diagonal/>
    </border>
  </borders>
  <cellStyleXfs count="3">
    <xf numFmtId="0" fontId="0" fillId="0" borderId="0"/>
    <xf numFmtId="9" fontId="1" fillId="0" borderId="0" applyFont="0" applyFill="0" applyBorder="0" applyAlignment="0" applyProtection="0"/>
    <xf numFmtId="41" fontId="1" fillId="0" borderId="0" applyFont="0" applyFill="0" applyBorder="0" applyAlignment="0" applyProtection="0"/>
  </cellStyleXfs>
  <cellXfs count="1453">
    <xf numFmtId="0" fontId="0" fillId="0" borderId="0" xfId="0"/>
    <xf numFmtId="0" fontId="0" fillId="2" borderId="0" xfId="0" applyFill="1"/>
    <xf numFmtId="1" fontId="4" fillId="2" borderId="0" xfId="0" applyNumberFormat="1" applyFont="1" applyFill="1" applyAlignment="1">
      <alignment horizontal="left" vertical="center"/>
    </xf>
    <xf numFmtId="0" fontId="15" fillId="2" borderId="0" xfId="0" applyFont="1" applyFill="1" applyAlignment="1">
      <alignment vertical="center"/>
    </xf>
    <xf numFmtId="1" fontId="16" fillId="2" borderId="0" xfId="0" applyNumberFormat="1" applyFont="1" applyFill="1" applyAlignment="1">
      <alignment vertical="center"/>
    </xf>
    <xf numFmtId="0" fontId="17" fillId="2" borderId="0" xfId="0" applyFont="1" applyFill="1" applyAlignment="1">
      <alignment vertical="center"/>
    </xf>
    <xf numFmtId="1" fontId="4" fillId="2" borderId="0" xfId="0" applyNumberFormat="1" applyFont="1" applyFill="1" applyAlignment="1">
      <alignment vertical="center"/>
    </xf>
    <xf numFmtId="1" fontId="4" fillId="2" borderId="0" xfId="0" applyNumberFormat="1" applyFont="1" applyFill="1" applyAlignment="1">
      <alignment horizontal="center" vertical="center"/>
    </xf>
    <xf numFmtId="1" fontId="18" fillId="2" borderId="0" xfId="0" applyNumberFormat="1" applyFont="1" applyFill="1" applyAlignment="1">
      <alignment horizontal="center" vertical="center"/>
    </xf>
    <xf numFmtId="0" fontId="19" fillId="2" borderId="0" xfId="0" applyFont="1" applyFill="1" applyAlignment="1">
      <alignment horizontal="center" vertical="center"/>
    </xf>
    <xf numFmtId="1" fontId="9" fillId="0" borderId="0" xfId="0" applyNumberFormat="1" applyFont="1" applyAlignment="1">
      <alignment horizontal="left" vertical="center"/>
    </xf>
    <xf numFmtId="1" fontId="9" fillId="0" borderId="0" xfId="0" applyNumberFormat="1" applyFont="1" applyAlignment="1">
      <alignment vertical="center"/>
    </xf>
    <xf numFmtId="1" fontId="20" fillId="15" borderId="0" xfId="0" applyNumberFormat="1" applyFont="1" applyFill="1" applyAlignment="1">
      <alignment horizontal="center" vertical="center"/>
    </xf>
    <xf numFmtId="1" fontId="21" fillId="0" borderId="0" xfId="0" applyNumberFormat="1" applyFont="1" applyAlignment="1">
      <alignment horizontal="left" vertical="center"/>
    </xf>
    <xf numFmtId="1" fontId="21" fillId="0" borderId="0" xfId="0" applyNumberFormat="1" applyFont="1" applyAlignment="1">
      <alignment vertical="center"/>
    </xf>
    <xf numFmtId="1" fontId="23" fillId="2" borderId="0" xfId="0" applyNumberFormat="1" applyFont="1" applyFill="1" applyAlignment="1">
      <alignment horizontal="center" vertical="center"/>
    </xf>
    <xf numFmtId="1" fontId="23" fillId="15" borderId="0" xfId="0" applyNumberFormat="1" applyFont="1" applyFill="1" applyAlignment="1">
      <alignment horizontal="center" vertical="center"/>
    </xf>
    <xf numFmtId="1" fontId="9" fillId="2" borderId="0" xfId="0" applyNumberFormat="1" applyFont="1" applyFill="1" applyAlignment="1">
      <alignment vertical="center"/>
    </xf>
    <xf numFmtId="1" fontId="9" fillId="2" borderId="0" xfId="0" applyNumberFormat="1" applyFont="1" applyFill="1" applyAlignment="1">
      <alignment horizontal="center" vertical="center"/>
    </xf>
    <xf numFmtId="0" fontId="4" fillId="2" borderId="0" xfId="0" applyFont="1" applyFill="1" applyAlignment="1">
      <alignment horizontal="left"/>
    </xf>
    <xf numFmtId="0" fontId="5" fillId="2" borderId="0" xfId="0" applyFont="1" applyFill="1"/>
    <xf numFmtId="0" fontId="17" fillId="2" borderId="0" xfId="0" applyFont="1" applyFill="1"/>
    <xf numFmtId="0" fontId="9" fillId="0" borderId="0" xfId="0" applyFont="1" applyAlignment="1">
      <alignment vertical="center"/>
    </xf>
    <xf numFmtId="1" fontId="9" fillId="0" borderId="0" xfId="0" applyNumberFormat="1" applyFont="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4" fillId="2" borderId="0" xfId="0" applyFont="1" applyFill="1"/>
    <xf numFmtId="0" fontId="4" fillId="2" borderId="0" xfId="0" applyFont="1" applyFill="1" applyAlignment="1">
      <alignment horizontal="left" vertical="center"/>
    </xf>
    <xf numFmtId="0" fontId="7" fillId="9" borderId="0" xfId="0" applyFont="1" applyFill="1" applyAlignment="1">
      <alignment vertical="center"/>
    </xf>
    <xf numFmtId="1" fontId="14" fillId="9" borderId="0" xfId="1" applyNumberFormat="1" applyFont="1" applyFill="1" applyAlignment="1">
      <alignment horizontal="center"/>
    </xf>
    <xf numFmtId="0" fontId="28" fillId="2" borderId="0" xfId="0" applyFont="1" applyFill="1" applyAlignment="1">
      <alignment vertical="center"/>
    </xf>
    <xf numFmtId="1" fontId="29" fillId="0" borderId="0" xfId="0" applyNumberFormat="1" applyFont="1" applyAlignment="1">
      <alignment vertical="center"/>
    </xf>
    <xf numFmtId="1" fontId="30" fillId="4" borderId="0" xfId="0" applyNumberFormat="1" applyFont="1" applyFill="1" applyAlignment="1">
      <alignment horizontal="center" vertical="center"/>
    </xf>
    <xf numFmtId="1" fontId="30" fillId="4" borderId="0" xfId="0" applyNumberFormat="1" applyFont="1" applyFill="1" applyAlignment="1">
      <alignment vertical="center"/>
    </xf>
    <xf numFmtId="1" fontId="21" fillId="2" borderId="0" xfId="0" applyNumberFormat="1" applyFont="1" applyFill="1" applyAlignment="1">
      <alignment horizontal="left" vertical="center"/>
    </xf>
    <xf numFmtId="1" fontId="21" fillId="2" borderId="0" xfId="0" applyNumberFormat="1" applyFont="1" applyFill="1" applyAlignment="1">
      <alignment vertical="center"/>
    </xf>
    <xf numFmtId="0" fontId="32" fillId="10" borderId="0" xfId="0" applyFont="1" applyFill="1" applyAlignment="1">
      <alignment horizontal="left"/>
    </xf>
    <xf numFmtId="0" fontId="32" fillId="10" borderId="0" xfId="0" applyFont="1" applyFill="1" applyAlignment="1">
      <alignment vertical="center"/>
    </xf>
    <xf numFmtId="1" fontId="14" fillId="10" borderId="0" xfId="1" applyNumberFormat="1" applyFont="1" applyFill="1" applyAlignment="1">
      <alignment horizontal="center"/>
    </xf>
    <xf numFmtId="1" fontId="29" fillId="0" borderId="0" xfId="0" applyNumberFormat="1" applyFont="1" applyAlignment="1">
      <alignment horizontal="left" vertical="center"/>
    </xf>
    <xf numFmtId="0" fontId="33" fillId="2" borderId="0" xfId="0" applyFont="1" applyFill="1" applyAlignment="1">
      <alignment horizontal="left" vertical="center"/>
    </xf>
    <xf numFmtId="0" fontId="34" fillId="2" borderId="0" xfId="0" applyFont="1" applyFill="1" applyAlignment="1">
      <alignment vertical="center"/>
    </xf>
    <xf numFmtId="168" fontId="17" fillId="2" borderId="0" xfId="0" applyNumberFormat="1" applyFont="1" applyFill="1" applyAlignment="1">
      <alignment vertical="center"/>
    </xf>
    <xf numFmtId="169" fontId="4" fillId="2" borderId="0" xfId="0" applyNumberFormat="1" applyFont="1" applyFill="1" applyAlignment="1">
      <alignment vertical="center"/>
    </xf>
    <xf numFmtId="170" fontId="4" fillId="2" borderId="0" xfId="0" applyNumberFormat="1" applyFont="1" applyFill="1" applyAlignment="1">
      <alignment horizontal="center" vertical="center"/>
    </xf>
    <xf numFmtId="2" fontId="4" fillId="2" borderId="0" xfId="0" applyNumberFormat="1" applyFont="1" applyFill="1" applyAlignment="1">
      <alignment vertical="center"/>
    </xf>
    <xf numFmtId="1" fontId="37" fillId="0" borderId="0" xfId="0" applyNumberFormat="1" applyFont="1" applyAlignment="1">
      <alignment horizontal="left" vertical="center"/>
    </xf>
    <xf numFmtId="1" fontId="21" fillId="2" borderId="0" xfId="0" applyNumberFormat="1" applyFont="1" applyFill="1" applyAlignment="1">
      <alignment horizontal="center" vertical="center"/>
    </xf>
    <xf numFmtId="0" fontId="7" fillId="12" borderId="0" xfId="0" applyFont="1" applyFill="1" applyAlignment="1">
      <alignment vertical="center"/>
    </xf>
    <xf numFmtId="0" fontId="39" fillId="2" borderId="0" xfId="0" applyFont="1" applyFill="1" applyAlignment="1">
      <alignment vertical="center"/>
    </xf>
    <xf numFmtId="0" fontId="40" fillId="2" borderId="0" xfId="0" applyFont="1" applyFill="1" applyAlignment="1">
      <alignment vertical="center"/>
    </xf>
    <xf numFmtId="0" fontId="22" fillId="2" borderId="0" xfId="0" applyFont="1" applyFill="1" applyAlignment="1">
      <alignment horizontal="center" vertical="center"/>
    </xf>
    <xf numFmtId="0" fontId="7" fillId="13" borderId="0" xfId="0" applyFont="1" applyFill="1" applyAlignment="1">
      <alignment vertical="center"/>
    </xf>
    <xf numFmtId="0" fontId="41" fillId="2" borderId="0" xfId="0" applyFont="1" applyFill="1" applyAlignment="1">
      <alignment vertical="center"/>
    </xf>
    <xf numFmtId="0" fontId="7" fillId="8" borderId="0" xfId="0" applyFont="1" applyFill="1"/>
    <xf numFmtId="165" fontId="26" fillId="8" borderId="0" xfId="0" applyNumberFormat="1" applyFont="1" applyFill="1" applyAlignment="1">
      <alignment horizontal="center"/>
    </xf>
    <xf numFmtId="0" fontId="42" fillId="2" borderId="0" xfId="0" applyFont="1" applyFill="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40" fillId="2" borderId="0" xfId="0" applyFont="1" applyFill="1"/>
    <xf numFmtId="0" fontId="43" fillId="2" borderId="0" xfId="0" applyFont="1" applyFill="1" applyAlignment="1">
      <alignment horizontal="center" vertical="center"/>
    </xf>
    <xf numFmtId="1" fontId="10" fillId="2" borderId="0" xfId="0" applyNumberFormat="1" applyFont="1" applyFill="1" applyAlignment="1">
      <alignment vertical="center"/>
    </xf>
    <xf numFmtId="0" fontId="10" fillId="2" borderId="0" xfId="0" applyFont="1" applyFill="1" applyAlignment="1">
      <alignment horizontal="center" vertical="center"/>
    </xf>
    <xf numFmtId="0" fontId="10" fillId="2" borderId="0" xfId="0" applyFont="1" applyFill="1" applyAlignment="1">
      <alignment vertical="center"/>
    </xf>
    <xf numFmtId="1" fontId="9" fillId="0" borderId="0" xfId="0" applyNumberFormat="1" applyFont="1" applyAlignment="1">
      <alignment vertical="center" wrapText="1"/>
    </xf>
    <xf numFmtId="0" fontId="32" fillId="2" borderId="0" xfId="0" applyFont="1" applyFill="1" applyAlignment="1">
      <alignment vertical="center"/>
    </xf>
    <xf numFmtId="0" fontId="32" fillId="2" borderId="0" xfId="0" applyFont="1" applyFill="1" applyAlignment="1">
      <alignment horizontal="center" vertical="center"/>
    </xf>
    <xf numFmtId="0" fontId="46" fillId="2" borderId="0" xfId="0" applyFont="1" applyFill="1" applyAlignment="1">
      <alignment vertical="center"/>
    </xf>
    <xf numFmtId="0" fontId="11" fillId="2" borderId="0" xfId="0" applyFont="1" applyFill="1" applyAlignment="1">
      <alignment vertical="center"/>
    </xf>
    <xf numFmtId="0" fontId="21" fillId="2" borderId="0" xfId="0" applyFont="1" applyFill="1" applyAlignment="1">
      <alignment vertical="center"/>
    </xf>
    <xf numFmtId="0" fontId="47" fillId="2" borderId="0" xfId="0" applyFont="1" applyFill="1" applyAlignment="1">
      <alignment vertical="top"/>
    </xf>
    <xf numFmtId="0" fontId="9" fillId="7" borderId="0" xfId="0" applyFont="1" applyFill="1" applyAlignment="1">
      <alignment horizontal="left" vertical="center"/>
    </xf>
    <xf numFmtId="1" fontId="48" fillId="7" borderId="0" xfId="0" applyNumberFormat="1" applyFont="1" applyFill="1" applyAlignment="1">
      <alignment vertical="center"/>
    </xf>
    <xf numFmtId="1" fontId="50" fillId="7" borderId="0" xfId="0" applyNumberFormat="1" applyFont="1" applyFill="1" applyAlignment="1">
      <alignment vertical="center"/>
    </xf>
    <xf numFmtId="1" fontId="21" fillId="7" borderId="0" xfId="0" applyNumberFormat="1" applyFont="1" applyFill="1" applyAlignment="1">
      <alignment vertical="center"/>
    </xf>
    <xf numFmtId="49" fontId="21" fillId="2" borderId="0" xfId="0" applyNumberFormat="1" applyFont="1" applyFill="1" applyAlignment="1">
      <alignment horizontal="left" vertical="center"/>
    </xf>
    <xf numFmtId="165" fontId="50" fillId="2" borderId="0" xfId="0" applyNumberFormat="1" applyFont="1" applyFill="1" applyAlignment="1">
      <alignment vertical="center"/>
    </xf>
    <xf numFmtId="0" fontId="49" fillId="2" borderId="0" xfId="0" applyFont="1" applyFill="1" applyAlignment="1">
      <alignment horizontal="center" vertical="center"/>
    </xf>
    <xf numFmtId="2" fontId="49" fillId="2" borderId="0" xfId="0" applyNumberFormat="1" applyFont="1" applyFill="1" applyAlignment="1">
      <alignment horizontal="center" vertical="center"/>
    </xf>
    <xf numFmtId="2" fontId="51" fillId="2" borderId="0" xfId="1" applyNumberFormat="1" applyFont="1" applyFill="1" applyBorder="1" applyAlignment="1">
      <alignment horizontal="center" vertical="center"/>
    </xf>
    <xf numFmtId="2" fontId="48" fillId="2" borderId="0" xfId="0" applyNumberFormat="1" applyFont="1" applyFill="1" applyAlignment="1">
      <alignment vertical="center"/>
    </xf>
    <xf numFmtId="2" fontId="48" fillId="2" borderId="0" xfId="1" applyNumberFormat="1" applyFont="1" applyFill="1" applyAlignment="1">
      <alignment vertical="center"/>
    </xf>
    <xf numFmtId="1" fontId="48" fillId="2" borderId="0" xfId="0" applyNumberFormat="1" applyFont="1" applyFill="1" applyAlignment="1">
      <alignment vertical="center"/>
    </xf>
    <xf numFmtId="0" fontId="27" fillId="2" borderId="0" xfId="0" applyFont="1" applyFill="1" applyAlignment="1">
      <alignment horizontal="center" vertical="center"/>
    </xf>
    <xf numFmtId="0" fontId="27" fillId="2" borderId="0" xfId="0" applyFont="1" applyFill="1" applyAlignment="1">
      <alignment vertical="center"/>
    </xf>
    <xf numFmtId="0" fontId="29" fillId="2" borderId="0" xfId="0" applyFont="1" applyFill="1" applyAlignment="1">
      <alignment vertical="center"/>
    </xf>
    <xf numFmtId="0" fontId="53" fillId="2" borderId="0" xfId="0" applyFont="1" applyFill="1" applyAlignment="1">
      <alignment vertical="center"/>
    </xf>
    <xf numFmtId="165" fontId="9" fillId="0" borderId="0" xfId="0" applyNumberFormat="1" applyFont="1" applyAlignment="1">
      <alignment vertical="center"/>
    </xf>
    <xf numFmtId="0" fontId="4" fillId="2" borderId="0" xfId="0" applyFont="1" applyFill="1" applyAlignment="1">
      <alignment vertical="center"/>
    </xf>
    <xf numFmtId="1" fontId="21" fillId="0" borderId="0" xfId="0" applyNumberFormat="1" applyFont="1" applyAlignment="1">
      <alignment vertical="center" wrapText="1"/>
    </xf>
    <xf numFmtId="1" fontId="21" fillId="2" borderId="0" xfId="0" applyNumberFormat="1" applyFont="1" applyFill="1" applyAlignment="1">
      <alignment vertical="center" wrapText="1"/>
    </xf>
    <xf numFmtId="0" fontId="5" fillId="2" borderId="1" xfId="0" applyFont="1" applyFill="1" applyBorder="1" applyAlignment="1">
      <alignment horizontal="left" vertical="center"/>
    </xf>
    <xf numFmtId="0" fontId="7" fillId="8" borderId="0" xfId="0" applyFont="1" applyFill="1" applyAlignment="1">
      <alignment horizontal="center"/>
    </xf>
    <xf numFmtId="0" fontId="7" fillId="8" borderId="0" xfId="0" applyFont="1" applyFill="1" applyAlignment="1">
      <alignment horizontal="center" vertical="center"/>
    </xf>
    <xf numFmtId="0" fontId="15" fillId="2" borderId="0" xfId="0" applyFont="1" applyFill="1" applyAlignment="1">
      <alignment vertical="center" wrapText="1"/>
    </xf>
    <xf numFmtId="1" fontId="33" fillId="2" borderId="0" xfId="0" applyNumberFormat="1" applyFont="1" applyFill="1" applyAlignment="1">
      <alignment vertical="center"/>
    </xf>
    <xf numFmtId="0" fontId="32" fillId="10" borderId="0" xfId="0" applyFont="1" applyFill="1" applyAlignment="1">
      <alignment horizontal="center" vertical="center"/>
    </xf>
    <xf numFmtId="0" fontId="7" fillId="9" borderId="0" xfId="0" applyFont="1" applyFill="1" applyAlignment="1">
      <alignment horizontal="center" vertical="center"/>
    </xf>
    <xf numFmtId="0" fontId="7" fillId="12" borderId="0" xfId="0" applyFont="1" applyFill="1" applyAlignment="1">
      <alignment horizontal="center" vertical="center"/>
    </xf>
    <xf numFmtId="0" fontId="7" fillId="13" borderId="0" xfId="0" applyFont="1" applyFill="1" applyAlignment="1">
      <alignment horizontal="center" vertical="center"/>
    </xf>
    <xf numFmtId="0" fontId="13" fillId="11" borderId="0" xfId="0" applyFont="1" applyFill="1" applyAlignment="1">
      <alignment vertical="top"/>
    </xf>
    <xf numFmtId="0" fontId="42" fillId="2" borderId="0" xfId="0" applyFont="1" applyFill="1" applyAlignment="1">
      <alignment vertical="center"/>
    </xf>
    <xf numFmtId="49" fontId="21" fillId="2" borderId="0" xfId="0" applyNumberFormat="1" applyFont="1" applyFill="1" applyAlignment="1">
      <alignment vertical="center"/>
    </xf>
    <xf numFmtId="0" fontId="17" fillId="2" borderId="8" xfId="0" applyFont="1" applyFill="1" applyBorder="1"/>
    <xf numFmtId="165" fontId="11" fillId="2" borderId="0" xfId="0" applyNumberFormat="1" applyFont="1" applyFill="1" applyAlignment="1">
      <alignment horizontal="center" vertical="center"/>
    </xf>
    <xf numFmtId="164" fontId="11" fillId="2" borderId="0" xfId="0" applyNumberFormat="1" applyFont="1" applyFill="1" applyAlignment="1">
      <alignment horizontal="center" vertical="center"/>
    </xf>
    <xf numFmtId="165" fontId="11" fillId="2" borderId="8" xfId="0" applyNumberFormat="1" applyFont="1" applyFill="1" applyBorder="1" applyAlignment="1">
      <alignment horizontal="center" vertical="center"/>
    </xf>
    <xf numFmtId="0" fontId="5" fillId="2" borderId="0" xfId="0" applyFont="1" applyFill="1" applyAlignment="1">
      <alignment vertical="center"/>
    </xf>
    <xf numFmtId="164" fontId="11" fillId="2" borderId="0" xfId="1" applyNumberFormat="1"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164" fontId="11" fillId="2" borderId="0" xfId="1" applyNumberFormat="1" applyFont="1" applyFill="1" applyAlignment="1">
      <alignment horizontal="center" vertical="center"/>
    </xf>
    <xf numFmtId="164" fontId="10" fillId="2" borderId="0" xfId="1" applyNumberFormat="1" applyFont="1" applyFill="1" applyBorder="1" applyAlignment="1">
      <alignment horizontal="center" vertical="center"/>
    </xf>
    <xf numFmtId="0" fontId="43" fillId="2" borderId="0" xfId="0" applyFont="1" applyFill="1" applyAlignment="1">
      <alignment horizontal="left" vertical="center"/>
    </xf>
    <xf numFmtId="165" fontId="10" fillId="2" borderId="0" xfId="0" applyNumberFormat="1" applyFont="1" applyFill="1" applyAlignment="1">
      <alignment horizontal="center" vertical="center"/>
    </xf>
    <xf numFmtId="9" fontId="58" fillId="2" borderId="0" xfId="1" applyFont="1" applyFill="1" applyBorder="1" applyAlignment="1">
      <alignment horizontal="center" vertical="center"/>
    </xf>
    <xf numFmtId="1" fontId="10" fillId="2" borderId="0" xfId="0" applyNumberFormat="1" applyFont="1" applyFill="1" applyAlignment="1">
      <alignment horizontal="center" vertical="center"/>
    </xf>
    <xf numFmtId="9" fontId="10" fillId="2" borderId="0" xfId="1" applyFont="1" applyFill="1" applyBorder="1" applyAlignment="1">
      <alignment horizontal="center" vertical="center"/>
    </xf>
    <xf numFmtId="0" fontId="43" fillId="0" borderId="0" xfId="0" applyFont="1" applyAlignment="1">
      <alignment horizontal="left" vertical="center"/>
    </xf>
    <xf numFmtId="9" fontId="17" fillId="2" borderId="0" xfId="1" applyFont="1" applyFill="1" applyBorder="1"/>
    <xf numFmtId="9" fontId="17" fillId="2" borderId="0" xfId="0" applyNumberFormat="1" applyFont="1" applyFill="1"/>
    <xf numFmtId="9" fontId="17" fillId="2" borderId="8" xfId="0" applyNumberFormat="1" applyFont="1" applyFill="1" applyBorder="1"/>
    <xf numFmtId="1" fontId="17" fillId="2" borderId="0" xfId="0" applyNumberFormat="1" applyFont="1" applyFill="1"/>
    <xf numFmtId="0" fontId="14" fillId="2" borderId="0" xfId="0" applyFont="1" applyFill="1" applyAlignment="1">
      <alignment horizontal="left" vertical="center"/>
    </xf>
    <xf numFmtId="9" fontId="17" fillId="2" borderId="0" xfId="1" applyFont="1" applyFill="1" applyBorder="1" applyAlignment="1">
      <alignment horizontal="center" vertical="center"/>
    </xf>
    <xf numFmtId="9" fontId="11" fillId="2" borderId="0" xfId="1" applyFont="1" applyFill="1" applyBorder="1" applyAlignment="1">
      <alignment horizontal="center" vertical="center"/>
    </xf>
    <xf numFmtId="0" fontId="17" fillId="2" borderId="8" xfId="0" applyFont="1" applyFill="1" applyBorder="1" applyAlignment="1">
      <alignment vertical="center"/>
    </xf>
    <xf numFmtId="0" fontId="17" fillId="2" borderId="0" xfId="0" applyFont="1" applyFill="1" applyAlignment="1">
      <alignment horizontal="center" vertical="center"/>
    </xf>
    <xf numFmtId="0" fontId="43" fillId="2" borderId="0" xfId="0" applyFont="1" applyFill="1"/>
    <xf numFmtId="1" fontId="11" fillId="2" borderId="0" xfId="1" applyNumberFormat="1" applyFont="1" applyFill="1" applyBorder="1" applyAlignment="1">
      <alignment horizontal="center" vertical="center"/>
    </xf>
    <xf numFmtId="0" fontId="4" fillId="0" borderId="0" xfId="0" applyFont="1" applyAlignment="1">
      <alignment horizontal="left" vertical="center"/>
    </xf>
    <xf numFmtId="0" fontId="14" fillId="2" borderId="0" xfId="0" applyFont="1" applyFill="1" applyAlignment="1">
      <alignment horizontal="left"/>
    </xf>
    <xf numFmtId="0" fontId="58" fillId="2" borderId="0" xfId="0" applyFont="1" applyFill="1" applyAlignment="1">
      <alignment horizontal="left"/>
    </xf>
    <xf numFmtId="0" fontId="64" fillId="2" borderId="0" xfId="0" applyFont="1" applyFill="1" applyAlignment="1">
      <alignment vertical="center"/>
    </xf>
    <xf numFmtId="0" fontId="65" fillId="2" borderId="0" xfId="0" applyFont="1" applyFill="1" applyAlignment="1">
      <alignment vertical="center"/>
    </xf>
    <xf numFmtId="164" fontId="17" fillId="2" borderId="0" xfId="1" applyNumberFormat="1" applyFont="1" applyFill="1" applyBorder="1" applyAlignment="1">
      <alignment horizontal="center" vertical="center"/>
    </xf>
    <xf numFmtId="9" fontId="17" fillId="2" borderId="0" xfId="0" applyNumberFormat="1" applyFont="1" applyFill="1" applyAlignment="1">
      <alignment vertical="center"/>
    </xf>
    <xf numFmtId="0" fontId="17" fillId="2" borderId="0" xfId="0" applyFont="1" applyFill="1" applyAlignment="1">
      <alignment vertical="top"/>
    </xf>
    <xf numFmtId="0" fontId="7" fillId="11" borderId="0" xfId="0" applyFont="1" applyFill="1" applyAlignment="1">
      <alignment vertical="center"/>
    </xf>
    <xf numFmtId="0" fontId="7" fillId="8" borderId="0" xfId="0" applyFont="1" applyFill="1" applyAlignment="1">
      <alignment horizontal="left" vertical="top" wrapText="1"/>
    </xf>
    <xf numFmtId="0" fontId="26" fillId="8" borderId="0" xfId="0" applyFont="1" applyFill="1" applyAlignment="1">
      <alignment horizontal="left" vertical="top"/>
    </xf>
    <xf numFmtId="0" fontId="7" fillId="8" borderId="0" xfId="0" applyFont="1" applyFill="1" applyAlignment="1">
      <alignment vertical="top"/>
    </xf>
    <xf numFmtId="0" fontId="7" fillId="13" borderId="0" xfId="0" applyFont="1" applyFill="1" applyAlignment="1">
      <alignment horizontal="left"/>
    </xf>
    <xf numFmtId="165" fontId="26" fillId="13" borderId="0" xfId="0" applyNumberFormat="1" applyFont="1" applyFill="1" applyAlignment="1">
      <alignment horizontal="center"/>
    </xf>
    <xf numFmtId="0" fontId="7" fillId="12" borderId="0" xfId="0" applyFont="1" applyFill="1" applyAlignment="1">
      <alignment horizontal="left"/>
    </xf>
    <xf numFmtId="165" fontId="26" fillId="12" borderId="0" xfId="0" applyNumberFormat="1" applyFont="1" applyFill="1" applyAlignment="1">
      <alignment horizontal="center"/>
    </xf>
    <xf numFmtId="0" fontId="7" fillId="11" borderId="0" xfId="0" applyFont="1" applyFill="1" applyAlignment="1">
      <alignment horizontal="left" wrapText="1"/>
    </xf>
    <xf numFmtId="0" fontId="7" fillId="11" borderId="0" xfId="0" applyFont="1" applyFill="1" applyAlignment="1">
      <alignment wrapText="1"/>
    </xf>
    <xf numFmtId="165" fontId="27" fillId="11" borderId="0" xfId="0" applyNumberFormat="1" applyFont="1" applyFill="1" applyAlignment="1">
      <alignment horizontal="center"/>
    </xf>
    <xf numFmtId="0" fontId="7" fillId="9" borderId="0" xfId="0" applyFont="1" applyFill="1" applyAlignment="1">
      <alignment horizontal="left"/>
    </xf>
    <xf numFmtId="49" fontId="68" fillId="2" borderId="0" xfId="0" applyNumberFormat="1" applyFont="1" applyFill="1" applyAlignment="1">
      <alignment vertical="center"/>
    </xf>
    <xf numFmtId="49" fontId="68" fillId="2" borderId="0" xfId="0" applyNumberFormat="1" applyFont="1" applyFill="1" applyAlignment="1">
      <alignment horizontal="left" vertical="center"/>
    </xf>
    <xf numFmtId="0" fontId="33" fillId="2" borderId="0" xfId="0" applyFont="1" applyFill="1" applyAlignment="1">
      <alignment vertical="center"/>
    </xf>
    <xf numFmtId="1" fontId="33" fillId="2" borderId="0" xfId="0" applyNumberFormat="1" applyFont="1" applyFill="1" applyAlignment="1">
      <alignment horizontal="left" vertical="center"/>
    </xf>
    <xf numFmtId="165" fontId="33" fillId="2" borderId="0" xfId="0" applyNumberFormat="1" applyFont="1" applyFill="1" applyAlignment="1">
      <alignment vertical="center"/>
    </xf>
    <xf numFmtId="0" fontId="56" fillId="2" borderId="0" xfId="0" applyFont="1" applyFill="1" applyAlignment="1">
      <alignment horizontal="center" vertical="center"/>
    </xf>
    <xf numFmtId="2" fontId="56" fillId="2" borderId="0" xfId="0" applyNumberFormat="1" applyFont="1" applyFill="1" applyAlignment="1">
      <alignment horizontal="center" vertical="center"/>
    </xf>
    <xf numFmtId="2" fontId="69" fillId="2" borderId="0" xfId="1" applyNumberFormat="1" applyFont="1" applyFill="1" applyBorder="1" applyAlignment="1">
      <alignment horizontal="center" vertical="center"/>
    </xf>
    <xf numFmtId="2" fontId="68" fillId="2" borderId="0" xfId="0" applyNumberFormat="1" applyFont="1" applyFill="1" applyAlignment="1">
      <alignment vertical="center"/>
    </xf>
    <xf numFmtId="1" fontId="68" fillId="2" borderId="0" xfId="0" applyNumberFormat="1" applyFont="1" applyFill="1" applyAlignment="1">
      <alignment vertical="center"/>
    </xf>
    <xf numFmtId="0" fontId="7" fillId="2" borderId="0" xfId="0" applyFont="1" applyFill="1" applyAlignment="1">
      <alignment vertical="center"/>
    </xf>
    <xf numFmtId="1" fontId="70" fillId="15" borderId="0" xfId="0" applyNumberFormat="1" applyFont="1" applyFill="1" applyAlignment="1">
      <alignment horizontal="center" vertical="center"/>
    </xf>
    <xf numFmtId="0" fontId="17" fillId="2" borderId="10" xfId="0" applyFont="1" applyFill="1" applyBorder="1" applyAlignment="1">
      <alignment horizontal="center" vertical="center"/>
    </xf>
    <xf numFmtId="0" fontId="14" fillId="2" borderId="0" xfId="0" applyFont="1" applyFill="1" applyAlignment="1">
      <alignment horizontal="center" vertical="center"/>
    </xf>
    <xf numFmtId="1" fontId="17" fillId="2" borderId="10" xfId="0" applyNumberFormat="1" applyFont="1" applyFill="1" applyBorder="1" applyAlignment="1">
      <alignment horizontal="center" vertical="center"/>
    </xf>
    <xf numFmtId="1" fontId="4" fillId="0" borderId="0" xfId="0" applyNumberFormat="1" applyFont="1" applyAlignment="1">
      <alignment horizontal="left" vertical="center"/>
    </xf>
    <xf numFmtId="164" fontId="71" fillId="2" borderId="0" xfId="1" applyNumberFormat="1" applyFont="1" applyFill="1" applyBorder="1" applyAlignment="1">
      <alignment horizontal="center" vertical="center"/>
    </xf>
    <xf numFmtId="9" fontId="71" fillId="2" borderId="0" xfId="1" applyFont="1" applyFill="1" applyBorder="1" applyAlignment="1">
      <alignment horizontal="center" vertical="center"/>
    </xf>
    <xf numFmtId="1" fontId="72" fillId="15" borderId="0" xfId="0" applyNumberFormat="1" applyFont="1" applyFill="1" applyAlignment="1">
      <alignment horizontal="center" vertical="center"/>
    </xf>
    <xf numFmtId="1" fontId="33" fillId="2" borderId="0" xfId="0" applyNumberFormat="1" applyFont="1" applyFill="1" applyAlignment="1">
      <alignment horizontal="center" vertical="center"/>
    </xf>
    <xf numFmtId="1" fontId="76" fillId="2" borderId="0" xfId="0" applyNumberFormat="1" applyFont="1" applyFill="1" applyAlignment="1">
      <alignment horizontal="center" vertical="center"/>
    </xf>
    <xf numFmtId="1" fontId="40" fillId="2" borderId="0" xfId="0" applyNumberFormat="1" applyFont="1" applyFill="1" applyAlignment="1">
      <alignment vertical="center"/>
    </xf>
    <xf numFmtId="1" fontId="36" fillId="0" borderId="0" xfId="0" applyNumberFormat="1" applyFont="1" applyAlignment="1">
      <alignment vertical="center"/>
    </xf>
    <xf numFmtId="1" fontId="80" fillId="15" borderId="0" xfId="0" applyNumberFormat="1" applyFont="1" applyFill="1" applyAlignment="1">
      <alignment horizontal="center" vertical="center"/>
    </xf>
    <xf numFmtId="1" fontId="9" fillId="15" borderId="0" xfId="0" applyNumberFormat="1" applyFont="1" applyFill="1" applyAlignment="1">
      <alignment horizontal="center" vertical="center"/>
    </xf>
    <xf numFmtId="1" fontId="29" fillId="15" borderId="0" xfId="0" applyNumberFormat="1" applyFont="1" applyFill="1" applyAlignment="1">
      <alignment horizontal="center" vertical="center"/>
    </xf>
    <xf numFmtId="1" fontId="21" fillId="15" borderId="0" xfId="0" applyNumberFormat="1" applyFont="1" applyFill="1" applyAlignment="1">
      <alignment horizontal="center" vertical="center"/>
    </xf>
    <xf numFmtId="165" fontId="29" fillId="0" borderId="0" xfId="0" applyNumberFormat="1" applyFont="1" applyAlignment="1">
      <alignment vertical="center"/>
    </xf>
    <xf numFmtId="0" fontId="17" fillId="2" borderId="0" xfId="0" applyFont="1" applyFill="1" applyAlignment="1">
      <alignment horizontal="center"/>
    </xf>
    <xf numFmtId="0" fontId="47" fillId="2" borderId="0" xfId="0" applyFont="1" applyFill="1" applyAlignment="1">
      <alignment horizontal="center" vertical="top"/>
    </xf>
    <xf numFmtId="1" fontId="20" fillId="2" borderId="0" xfId="0" applyNumberFormat="1" applyFont="1" applyFill="1" applyAlignment="1">
      <alignment horizontal="center" vertical="center"/>
    </xf>
    <xf numFmtId="1" fontId="68" fillId="2" borderId="0" xfId="0" applyNumberFormat="1" applyFont="1" applyFill="1" applyAlignment="1">
      <alignment horizontal="center" vertical="center"/>
    </xf>
    <xf numFmtId="0" fontId="14" fillId="2" borderId="0" xfId="0" applyFont="1" applyFill="1" applyAlignment="1">
      <alignment vertical="center"/>
    </xf>
    <xf numFmtId="9" fontId="17" fillId="2" borderId="0" xfId="1" applyFont="1" applyFill="1"/>
    <xf numFmtId="0" fontId="82" fillId="2" borderId="0" xfId="0" applyFont="1" applyFill="1" applyAlignment="1">
      <alignment vertical="center"/>
    </xf>
    <xf numFmtId="0" fontId="0" fillId="2" borderId="0" xfId="0" applyFill="1" applyAlignment="1">
      <alignment vertical="center"/>
    </xf>
    <xf numFmtId="0" fontId="81" fillId="5" borderId="9" xfId="0" applyFont="1" applyFill="1" applyBorder="1" applyAlignment="1">
      <alignment vertical="center" wrapText="1"/>
    </xf>
    <xf numFmtId="0" fontId="81" fillId="5" borderId="0" xfId="0" applyFont="1" applyFill="1" applyAlignment="1">
      <alignment vertical="center" wrapText="1"/>
    </xf>
    <xf numFmtId="9" fontId="4" fillId="2" borderId="0" xfId="1" applyFont="1" applyFill="1" applyAlignment="1">
      <alignment vertical="center"/>
    </xf>
    <xf numFmtId="0" fontId="7" fillId="24" borderId="0" xfId="0" applyFont="1" applyFill="1" applyAlignment="1">
      <alignment wrapText="1"/>
    </xf>
    <xf numFmtId="0" fontId="7" fillId="24" borderId="0" xfId="0" applyFont="1" applyFill="1"/>
    <xf numFmtId="0" fontId="7" fillId="24" borderId="8" xfId="0" applyFont="1" applyFill="1" applyBorder="1" applyAlignment="1">
      <alignment wrapText="1"/>
    </xf>
    <xf numFmtId="0" fontId="7" fillId="24" borderId="0" xfId="0" applyFont="1" applyFill="1" applyAlignment="1">
      <alignment horizontal="center" wrapText="1"/>
    </xf>
    <xf numFmtId="0" fontId="7" fillId="24" borderId="0" xfId="0" applyFont="1" applyFill="1" applyAlignment="1">
      <alignment horizontal="center"/>
    </xf>
    <xf numFmtId="0" fontId="12" fillId="24" borderId="0" xfId="0" applyFont="1" applyFill="1" applyAlignment="1">
      <alignment vertical="top" wrapText="1"/>
    </xf>
    <xf numFmtId="0" fontId="12" fillId="24" borderId="8" xfId="0" applyFont="1" applyFill="1" applyBorder="1" applyAlignment="1">
      <alignment vertical="top" wrapText="1"/>
    </xf>
    <xf numFmtId="0" fontId="12" fillId="24" borderId="0" xfId="0" applyFont="1" applyFill="1" applyAlignment="1">
      <alignment horizontal="center" vertical="top" wrapText="1"/>
    </xf>
    <xf numFmtId="0" fontId="7" fillId="24" borderId="0" xfId="0" applyFont="1" applyFill="1" applyAlignment="1">
      <alignment horizontal="center" vertical="top"/>
    </xf>
    <xf numFmtId="0" fontId="7" fillId="24" borderId="0" xfId="0" applyFont="1" applyFill="1" applyAlignment="1">
      <alignment vertical="top"/>
    </xf>
    <xf numFmtId="1" fontId="84" fillId="27" borderId="0" xfId="0" applyNumberFormat="1" applyFont="1" applyFill="1" applyAlignment="1">
      <alignment vertical="center"/>
    </xf>
    <xf numFmtId="9" fontId="84" fillId="27" borderId="0" xfId="1" applyFont="1" applyFill="1" applyBorder="1" applyAlignment="1">
      <alignment horizontal="center" vertical="center"/>
    </xf>
    <xf numFmtId="1" fontId="84" fillId="27" borderId="0" xfId="0" applyNumberFormat="1" applyFont="1" applyFill="1" applyAlignment="1">
      <alignment horizontal="center" vertical="center"/>
    </xf>
    <xf numFmtId="1" fontId="84" fillId="27" borderId="0" xfId="1" applyNumberFormat="1" applyFont="1" applyFill="1" applyBorder="1" applyAlignment="1">
      <alignment horizontal="center" vertical="center"/>
    </xf>
    <xf numFmtId="1" fontId="83" fillId="2" borderId="3" xfId="0" applyNumberFormat="1" applyFont="1" applyFill="1" applyBorder="1" applyAlignment="1">
      <alignment horizontal="center" vertical="center"/>
    </xf>
    <xf numFmtId="164" fontId="84" fillId="27" borderId="11" xfId="0" applyNumberFormat="1" applyFont="1" applyFill="1" applyBorder="1" applyAlignment="1">
      <alignment vertical="center"/>
    </xf>
    <xf numFmtId="9" fontId="84" fillId="27" borderId="11" xfId="1" applyFont="1" applyFill="1" applyBorder="1" applyAlignment="1">
      <alignment horizontal="center" vertical="center"/>
    </xf>
    <xf numFmtId="164" fontId="83" fillId="2" borderId="12" xfId="1" applyNumberFormat="1" applyFont="1" applyFill="1" applyBorder="1" applyAlignment="1">
      <alignment horizontal="center" vertical="center"/>
    </xf>
    <xf numFmtId="165" fontId="84" fillId="27" borderId="0" xfId="0" applyNumberFormat="1" applyFont="1" applyFill="1" applyAlignment="1">
      <alignment vertical="center"/>
    </xf>
    <xf numFmtId="1" fontId="83" fillId="2" borderId="3" xfId="1" applyNumberFormat="1" applyFont="1" applyFill="1" applyBorder="1" applyAlignment="1">
      <alignment horizontal="center" vertical="center"/>
    </xf>
    <xf numFmtId="1" fontId="84" fillId="26" borderId="15" xfId="0" applyNumberFormat="1" applyFont="1" applyFill="1" applyBorder="1" applyAlignment="1">
      <alignment horizontal="center" vertical="center"/>
    </xf>
    <xf numFmtId="1" fontId="84" fillId="26" borderId="15" xfId="1" applyNumberFormat="1" applyFont="1" applyFill="1" applyBorder="1" applyAlignment="1">
      <alignment horizontal="center" vertical="center"/>
    </xf>
    <xf numFmtId="9" fontId="84" fillId="26" borderId="16" xfId="1" applyFont="1" applyFill="1" applyBorder="1" applyAlignment="1">
      <alignment horizontal="center" vertical="center"/>
    </xf>
    <xf numFmtId="1" fontId="84" fillId="28" borderId="18" xfId="0" applyNumberFormat="1" applyFont="1" applyFill="1" applyBorder="1" applyAlignment="1">
      <alignment horizontal="center" vertical="center"/>
    </xf>
    <xf numFmtId="0" fontId="68" fillId="21" borderId="11" xfId="0" applyFont="1" applyFill="1" applyBorder="1" applyAlignment="1">
      <alignment horizontal="left" vertical="center" wrapText="1"/>
    </xf>
    <xf numFmtId="49" fontId="33" fillId="21" borderId="11" xfId="0" applyNumberFormat="1" applyFont="1" applyFill="1" applyBorder="1" applyAlignment="1">
      <alignment horizontal="left" vertical="center" wrapText="1"/>
    </xf>
    <xf numFmtId="0" fontId="68" fillId="23" borderId="14" xfId="0" applyFont="1" applyFill="1" applyBorder="1" applyAlignment="1">
      <alignment horizontal="left" vertical="center" wrapText="1"/>
    </xf>
    <xf numFmtId="0" fontId="77" fillId="2" borderId="12" xfId="0" applyFont="1" applyFill="1" applyBorder="1" applyAlignment="1">
      <alignment horizontal="left" vertical="center" wrapText="1"/>
    </xf>
    <xf numFmtId="0" fontId="40" fillId="15" borderId="21" xfId="0" applyFont="1" applyFill="1" applyBorder="1" applyAlignment="1">
      <alignment horizontal="left" vertical="center" wrapText="1"/>
    </xf>
    <xf numFmtId="1" fontId="84" fillId="15" borderId="22" xfId="0" applyNumberFormat="1" applyFont="1" applyFill="1" applyBorder="1" applyAlignment="1">
      <alignment horizontal="center" vertical="center"/>
    </xf>
    <xf numFmtId="165" fontId="84" fillId="15" borderId="22" xfId="1" applyNumberFormat="1" applyFont="1" applyFill="1" applyBorder="1" applyAlignment="1">
      <alignment horizontal="center" vertical="center"/>
    </xf>
    <xf numFmtId="165" fontId="84" fillId="15" borderId="22" xfId="0" applyNumberFormat="1" applyFont="1" applyFill="1" applyBorder="1" applyAlignment="1">
      <alignment horizontal="center" vertical="center"/>
    </xf>
    <xf numFmtId="9" fontId="84" fillId="15" borderId="23" xfId="1" applyFont="1" applyFill="1" applyBorder="1" applyAlignment="1">
      <alignment horizontal="center" vertical="center"/>
    </xf>
    <xf numFmtId="0" fontId="84" fillId="27" borderId="24" xfId="0" applyFont="1" applyFill="1" applyBorder="1" applyAlignment="1">
      <alignment vertical="center"/>
    </xf>
    <xf numFmtId="9" fontId="84" fillId="27" borderId="24" xfId="1" applyFont="1" applyFill="1" applyBorder="1" applyAlignment="1">
      <alignment horizontal="center" vertical="center"/>
    </xf>
    <xf numFmtId="9" fontId="84" fillId="28" borderId="26" xfId="1" applyFont="1" applyFill="1" applyBorder="1" applyAlignment="1">
      <alignment horizontal="center" vertical="center"/>
    </xf>
    <xf numFmtId="9" fontId="84" fillId="26" borderId="27" xfId="1" applyFont="1" applyFill="1" applyBorder="1" applyAlignment="1">
      <alignment horizontal="center" vertical="center"/>
    </xf>
    <xf numFmtId="10" fontId="84" fillId="15" borderId="28" xfId="1" applyNumberFormat="1" applyFont="1" applyFill="1" applyBorder="1" applyAlignment="1">
      <alignment horizontal="center" vertical="center"/>
    </xf>
    <xf numFmtId="9" fontId="83" fillId="2" borderId="29" xfId="1" applyFont="1" applyFill="1" applyBorder="1" applyAlignment="1">
      <alignment horizontal="center" vertical="center"/>
    </xf>
    <xf numFmtId="164" fontId="84" fillId="27" borderId="24" xfId="1" applyNumberFormat="1" applyFont="1" applyFill="1" applyBorder="1" applyAlignment="1">
      <alignment horizontal="center" vertical="center"/>
    </xf>
    <xf numFmtId="164" fontId="84" fillId="15" borderId="28" xfId="1" applyNumberFormat="1" applyFont="1" applyFill="1" applyBorder="1" applyAlignment="1">
      <alignment horizontal="center" vertical="center"/>
    </xf>
    <xf numFmtId="164" fontId="83" fillId="2" borderId="29" xfId="1" applyNumberFormat="1" applyFont="1" applyFill="1" applyBorder="1" applyAlignment="1">
      <alignment horizontal="center" vertical="center"/>
    </xf>
    <xf numFmtId="0" fontId="32" fillId="21" borderId="0" xfId="0" applyFont="1" applyFill="1"/>
    <xf numFmtId="0" fontId="32" fillId="21" borderId="8" xfId="0" applyFont="1" applyFill="1" applyBorder="1"/>
    <xf numFmtId="0" fontId="32" fillId="21" borderId="0" xfId="0" applyFont="1" applyFill="1" applyAlignment="1">
      <alignment horizontal="center"/>
    </xf>
    <xf numFmtId="0" fontId="32" fillId="21" borderId="0" xfId="0" applyFont="1" applyFill="1" applyAlignment="1">
      <alignment vertical="top"/>
    </xf>
    <xf numFmtId="0" fontId="61" fillId="21" borderId="0" xfId="0" applyFont="1" applyFill="1" applyAlignment="1">
      <alignment vertical="top"/>
    </xf>
    <xf numFmtId="0" fontId="61" fillId="21" borderId="0" xfId="0" applyFont="1" applyFill="1" applyAlignment="1">
      <alignment vertical="top" wrapText="1"/>
    </xf>
    <xf numFmtId="0" fontId="61" fillId="21" borderId="8" xfId="0" applyFont="1" applyFill="1" applyBorder="1" applyAlignment="1">
      <alignment vertical="top" wrapText="1"/>
    </xf>
    <xf numFmtId="0" fontId="87" fillId="25" borderId="13" xfId="0" applyFont="1" applyFill="1" applyBorder="1" applyAlignment="1">
      <alignment horizontal="center" vertical="center"/>
    </xf>
    <xf numFmtId="0" fontId="87" fillId="25" borderId="25" xfId="0" applyFont="1" applyFill="1" applyBorder="1" applyAlignment="1">
      <alignment horizontal="center" vertical="center"/>
    </xf>
    <xf numFmtId="0" fontId="87" fillId="25" borderId="17" xfId="0" applyFont="1" applyFill="1" applyBorder="1" applyAlignment="1">
      <alignment horizontal="center" vertical="center"/>
    </xf>
    <xf numFmtId="0" fontId="87" fillId="25" borderId="32" xfId="0" applyFont="1" applyFill="1" applyBorder="1" applyAlignment="1">
      <alignment horizontal="center" vertical="center"/>
    </xf>
    <xf numFmtId="165" fontId="11" fillId="2" borderId="0" xfId="0" applyNumberFormat="1" applyFont="1" applyFill="1" applyAlignment="1">
      <alignment horizontal="center"/>
    </xf>
    <xf numFmtId="165" fontId="11" fillId="2" borderId="8" xfId="0" applyNumberFormat="1" applyFont="1" applyFill="1" applyBorder="1" applyAlignment="1">
      <alignment horizontal="center"/>
    </xf>
    <xf numFmtId="0" fontId="5" fillId="2" borderId="0" xfId="0" applyFont="1" applyFill="1" applyAlignment="1">
      <alignment vertical="top"/>
    </xf>
    <xf numFmtId="49" fontId="33" fillId="21" borderId="11" xfId="0" applyNumberFormat="1" applyFont="1" applyFill="1" applyBorder="1" applyAlignment="1">
      <alignment horizontal="left" vertical="top" wrapText="1"/>
    </xf>
    <xf numFmtId="1" fontId="84" fillId="27" borderId="0" xfId="0" applyNumberFormat="1" applyFont="1" applyFill="1" applyAlignment="1">
      <alignment horizontal="center" vertical="top"/>
    </xf>
    <xf numFmtId="1" fontId="84" fillId="27" borderId="24" xfId="0" applyNumberFormat="1" applyFont="1" applyFill="1" applyBorder="1" applyAlignment="1">
      <alignment horizontal="center" vertical="top"/>
    </xf>
    <xf numFmtId="1" fontId="84" fillId="27" borderId="0" xfId="1" applyNumberFormat="1" applyFont="1" applyFill="1" applyBorder="1" applyAlignment="1">
      <alignment horizontal="center" vertical="top"/>
    </xf>
    <xf numFmtId="9" fontId="84" fillId="27" borderId="0" xfId="1" applyFont="1" applyFill="1" applyBorder="1" applyAlignment="1">
      <alignment horizontal="center" vertical="top"/>
    </xf>
    <xf numFmtId="0" fontId="11" fillId="2" borderId="0" xfId="0" applyFont="1" applyFill="1" applyAlignment="1">
      <alignment horizontal="center" vertical="top"/>
    </xf>
    <xf numFmtId="0" fontId="11" fillId="2" borderId="8" xfId="0" applyFont="1" applyFill="1" applyBorder="1" applyAlignment="1">
      <alignment horizontal="center" vertical="top"/>
    </xf>
    <xf numFmtId="164" fontId="11" fillId="2" borderId="0" xfId="1" applyNumberFormat="1" applyFont="1" applyFill="1" applyAlignment="1">
      <alignment horizontal="center" vertical="top"/>
    </xf>
    <xf numFmtId="0" fontId="92" fillId="22" borderId="13" xfId="0" applyFont="1" applyFill="1" applyBorder="1" applyAlignment="1">
      <alignment horizontal="center" vertical="center"/>
    </xf>
    <xf numFmtId="0" fontId="92" fillId="22" borderId="17" xfId="0" applyFont="1" applyFill="1" applyBorder="1" applyAlignment="1">
      <alignment horizontal="center" vertical="center"/>
    </xf>
    <xf numFmtId="0" fontId="92" fillId="22" borderId="37" xfId="0" applyFont="1" applyFill="1" applyBorder="1" applyAlignment="1">
      <alignment horizontal="center" vertical="center"/>
    </xf>
    <xf numFmtId="0" fontId="60" fillId="25" borderId="0" xfId="0" applyFont="1" applyFill="1" applyAlignment="1">
      <alignment vertical="center"/>
    </xf>
    <xf numFmtId="0" fontId="60" fillId="25" borderId="8" xfId="0" applyFont="1" applyFill="1" applyBorder="1" applyAlignment="1">
      <alignment vertical="center"/>
    </xf>
    <xf numFmtId="0" fontId="60" fillId="25" borderId="0" xfId="0" applyFont="1" applyFill="1" applyAlignment="1">
      <alignment horizontal="center" vertical="center"/>
    </xf>
    <xf numFmtId="1" fontId="93" fillId="2" borderId="0" xfId="0" applyNumberFormat="1" applyFont="1" applyFill="1" applyAlignment="1">
      <alignment horizontal="center" vertical="center"/>
    </xf>
    <xf numFmtId="9" fontId="93" fillId="2" borderId="0" xfId="1" applyFont="1" applyFill="1" applyBorder="1" applyAlignment="1">
      <alignment horizontal="center" vertical="center"/>
    </xf>
    <xf numFmtId="165" fontId="93" fillId="2" borderId="0" xfId="0" applyNumberFormat="1" applyFont="1" applyFill="1" applyAlignment="1">
      <alignment horizontal="center" vertical="center"/>
    </xf>
    <xf numFmtId="164" fontId="93" fillId="2" borderId="0" xfId="1" applyNumberFormat="1" applyFont="1" applyFill="1" applyBorder="1" applyAlignment="1">
      <alignment horizontal="center" vertical="center"/>
    </xf>
    <xf numFmtId="1" fontId="93" fillId="2" borderId="35" xfId="0" applyNumberFormat="1" applyFont="1" applyFill="1" applyBorder="1" applyAlignment="1">
      <alignment horizontal="center" vertical="center"/>
    </xf>
    <xf numFmtId="9" fontId="93" fillId="2" borderId="35" xfId="1" applyFont="1" applyFill="1" applyBorder="1" applyAlignment="1">
      <alignment horizontal="center" vertical="center"/>
    </xf>
    <xf numFmtId="0" fontId="94" fillId="2" borderId="34" xfId="0" applyFont="1" applyFill="1" applyBorder="1" applyAlignment="1">
      <alignment horizontal="left" vertical="center" wrapText="1"/>
    </xf>
    <xf numFmtId="1" fontId="94" fillId="2" borderId="0" xfId="0" applyNumberFormat="1" applyFont="1" applyFill="1" applyAlignment="1">
      <alignment horizontal="center" vertical="center"/>
    </xf>
    <xf numFmtId="9" fontId="94" fillId="2" borderId="0" xfId="1" applyFont="1" applyFill="1" applyBorder="1" applyAlignment="1">
      <alignment horizontal="center" vertical="center"/>
    </xf>
    <xf numFmtId="0" fontId="94" fillId="2" borderId="36" xfId="0" applyFont="1" applyFill="1" applyBorder="1" applyAlignment="1">
      <alignment horizontal="left" vertical="center" wrapText="1"/>
    </xf>
    <xf numFmtId="1" fontId="94" fillId="2" borderId="35" xfId="0" applyNumberFormat="1" applyFont="1" applyFill="1" applyBorder="1" applyAlignment="1">
      <alignment horizontal="center" vertical="center"/>
    </xf>
    <xf numFmtId="1" fontId="93" fillId="2" borderId="0" xfId="1" applyNumberFormat="1" applyFont="1" applyFill="1" applyBorder="1" applyAlignment="1">
      <alignment horizontal="center" vertical="center"/>
    </xf>
    <xf numFmtId="0" fontId="96" fillId="2" borderId="0" xfId="0" applyFont="1" applyFill="1"/>
    <xf numFmtId="164" fontId="93" fillId="2" borderId="34" xfId="1" applyNumberFormat="1" applyFont="1" applyFill="1" applyBorder="1" applyAlignment="1">
      <alignment horizontal="center" vertical="center"/>
    </xf>
    <xf numFmtId="9" fontId="93" fillId="2" borderId="36" xfId="1" applyFont="1" applyFill="1" applyBorder="1" applyAlignment="1">
      <alignment horizontal="center" vertical="center"/>
    </xf>
    <xf numFmtId="9" fontId="94" fillId="2" borderId="34" xfId="1" applyFont="1" applyFill="1" applyBorder="1" applyAlignment="1">
      <alignment horizontal="center" vertical="center"/>
    </xf>
    <xf numFmtId="9" fontId="94" fillId="2" borderId="35" xfId="1" applyFont="1" applyFill="1" applyBorder="1" applyAlignment="1">
      <alignment horizontal="center" vertical="center"/>
    </xf>
    <xf numFmtId="1" fontId="93" fillId="2" borderId="33" xfId="0" applyNumberFormat="1" applyFont="1" applyFill="1" applyBorder="1" applyAlignment="1">
      <alignment horizontal="left" vertical="center" wrapText="1"/>
    </xf>
    <xf numFmtId="1" fontId="93" fillId="2" borderId="34" xfId="0" applyNumberFormat="1" applyFont="1" applyFill="1" applyBorder="1" applyAlignment="1">
      <alignment horizontal="left" vertical="center" wrapText="1"/>
    </xf>
    <xf numFmtId="1" fontId="93" fillId="2" borderId="34" xfId="0" applyNumberFormat="1" applyFont="1" applyFill="1" applyBorder="1" applyAlignment="1">
      <alignment horizontal="left" vertical="center"/>
    </xf>
    <xf numFmtId="10" fontId="93" fillId="2" borderId="34" xfId="1" applyNumberFormat="1" applyFont="1" applyFill="1" applyBorder="1" applyAlignment="1">
      <alignment horizontal="center" vertical="center"/>
    </xf>
    <xf numFmtId="164" fontId="94" fillId="2" borderId="34" xfId="1" applyNumberFormat="1" applyFont="1" applyFill="1" applyBorder="1" applyAlignment="1">
      <alignment horizontal="center" vertical="center"/>
    </xf>
    <xf numFmtId="1" fontId="93" fillId="2" borderId="36" xfId="0" applyNumberFormat="1" applyFont="1" applyFill="1" applyBorder="1" applyAlignment="1">
      <alignment horizontal="left" vertical="center" wrapText="1"/>
    </xf>
    <xf numFmtId="164" fontId="93" fillId="2" borderId="36" xfId="1" applyNumberFormat="1" applyFont="1" applyFill="1" applyBorder="1" applyAlignment="1">
      <alignment horizontal="center" vertical="center"/>
    </xf>
    <xf numFmtId="1" fontId="93" fillId="2" borderId="36" xfId="0" applyNumberFormat="1" applyFont="1" applyFill="1" applyBorder="1" applyAlignment="1">
      <alignment horizontal="center" vertical="center"/>
    </xf>
    <xf numFmtId="0" fontId="7" fillId="23" borderId="0" xfId="0" applyFont="1" applyFill="1" applyAlignment="1">
      <alignment vertical="center"/>
    </xf>
    <xf numFmtId="0" fontId="7" fillId="23" borderId="8" xfId="0" applyFont="1" applyFill="1" applyBorder="1" applyAlignment="1">
      <alignment vertical="center"/>
    </xf>
    <xf numFmtId="0" fontId="7" fillId="23" borderId="0" xfId="0" applyFont="1" applyFill="1" applyAlignment="1">
      <alignment horizontal="center" vertical="center"/>
    </xf>
    <xf numFmtId="0" fontId="50" fillId="31" borderId="13" xfId="0" applyFont="1" applyFill="1" applyBorder="1" applyAlignment="1">
      <alignment horizontal="center" vertical="center"/>
    </xf>
    <xf numFmtId="0" fontId="50" fillId="31" borderId="37" xfId="0" applyFont="1" applyFill="1" applyBorder="1" applyAlignment="1">
      <alignment horizontal="center" vertical="center"/>
    </xf>
    <xf numFmtId="0" fontId="50" fillId="31" borderId="17" xfId="0" applyFont="1" applyFill="1" applyBorder="1" applyAlignment="1">
      <alignment horizontal="center" vertical="center"/>
    </xf>
    <xf numFmtId="1" fontId="98" fillId="2" borderId="0" xfId="0" applyNumberFormat="1" applyFont="1" applyFill="1" applyAlignment="1">
      <alignment horizontal="center" vertical="center"/>
    </xf>
    <xf numFmtId="1" fontId="98" fillId="2" borderId="0" xfId="1" applyNumberFormat="1" applyFont="1" applyFill="1" applyBorder="1" applyAlignment="1">
      <alignment horizontal="center" vertical="center"/>
    </xf>
    <xf numFmtId="9" fontId="98" fillId="2" borderId="0" xfId="1" applyFont="1" applyFill="1" applyBorder="1" applyAlignment="1">
      <alignment horizontal="center" vertical="center"/>
    </xf>
    <xf numFmtId="164" fontId="98" fillId="2" borderId="0" xfId="1" applyNumberFormat="1" applyFont="1" applyFill="1" applyBorder="1" applyAlignment="1">
      <alignment horizontal="center" vertical="center"/>
    </xf>
    <xf numFmtId="1" fontId="98" fillId="2" borderId="38" xfId="0" applyNumberFormat="1" applyFont="1" applyFill="1" applyBorder="1" applyAlignment="1">
      <alignment horizontal="left" vertical="center" wrapText="1"/>
    </xf>
    <xf numFmtId="1" fontId="98" fillId="2" borderId="39" xfId="0" applyNumberFormat="1" applyFont="1" applyFill="1" applyBorder="1" applyAlignment="1">
      <alignment horizontal="left" vertical="center" wrapText="1"/>
    </xf>
    <xf numFmtId="165" fontId="98" fillId="2" borderId="0" xfId="0" applyNumberFormat="1" applyFont="1" applyFill="1" applyAlignment="1">
      <alignment horizontal="center" vertical="center"/>
    </xf>
    <xf numFmtId="164" fontId="98" fillId="2" borderId="40" xfId="1" applyNumberFormat="1" applyFont="1" applyFill="1" applyBorder="1" applyAlignment="1">
      <alignment horizontal="center" vertical="center"/>
    </xf>
    <xf numFmtId="9" fontId="98" fillId="2" borderId="41" xfId="1" applyFont="1" applyFill="1" applyBorder="1" applyAlignment="1">
      <alignment horizontal="center" vertical="center"/>
    </xf>
    <xf numFmtId="0" fontId="50" fillId="31" borderId="42" xfId="0" applyFont="1" applyFill="1" applyBorder="1" applyAlignment="1">
      <alignment horizontal="center" vertical="center"/>
    </xf>
    <xf numFmtId="10" fontId="98" fillId="2" borderId="41" xfId="1" applyNumberFormat="1" applyFont="1" applyFill="1" applyBorder="1" applyAlignment="1">
      <alignment horizontal="center" vertical="center"/>
    </xf>
    <xf numFmtId="1" fontId="98" fillId="2" borderId="45" xfId="0" applyNumberFormat="1" applyFont="1" applyFill="1" applyBorder="1" applyAlignment="1">
      <alignment horizontal="left" vertical="center" wrapText="1"/>
    </xf>
    <xf numFmtId="1" fontId="98" fillId="2" borderId="44" xfId="0" applyNumberFormat="1" applyFont="1" applyFill="1" applyBorder="1" applyAlignment="1">
      <alignment horizontal="center" vertical="center"/>
    </xf>
    <xf numFmtId="10" fontId="98" fillId="2" borderId="46" xfId="1" applyNumberFormat="1" applyFont="1" applyFill="1" applyBorder="1" applyAlignment="1">
      <alignment horizontal="center" vertical="center"/>
    </xf>
    <xf numFmtId="165" fontId="98" fillId="2" borderId="44" xfId="0" applyNumberFormat="1" applyFont="1" applyFill="1" applyBorder="1" applyAlignment="1">
      <alignment horizontal="center" vertical="center"/>
    </xf>
    <xf numFmtId="9" fontId="98" fillId="2" borderId="46" xfId="1" applyFont="1" applyFill="1" applyBorder="1" applyAlignment="1">
      <alignment horizontal="center" vertical="center"/>
    </xf>
    <xf numFmtId="9" fontId="98" fillId="2" borderId="44" xfId="1" applyFont="1" applyFill="1" applyBorder="1" applyAlignment="1">
      <alignment horizontal="center" vertical="center"/>
    </xf>
    <xf numFmtId="0" fontId="67" fillId="2" borderId="48" xfId="0" applyFont="1" applyFill="1" applyBorder="1" applyAlignment="1">
      <alignment horizontal="left" vertical="center" wrapText="1"/>
    </xf>
    <xf numFmtId="1" fontId="67" fillId="2" borderId="47" xfId="0" applyNumberFormat="1" applyFont="1" applyFill="1" applyBorder="1" applyAlignment="1">
      <alignment horizontal="center" vertical="center"/>
    </xf>
    <xf numFmtId="9" fontId="67" fillId="2" borderId="49" xfId="1" applyFont="1" applyFill="1" applyBorder="1" applyAlignment="1">
      <alignment horizontal="center" vertical="center"/>
    </xf>
    <xf numFmtId="1" fontId="98" fillId="2" borderId="44" xfId="1" applyNumberFormat="1" applyFont="1" applyFill="1" applyBorder="1" applyAlignment="1">
      <alignment horizontal="center" vertical="center"/>
    </xf>
    <xf numFmtId="1" fontId="98" fillId="2" borderId="47" xfId="1" applyNumberFormat="1" applyFont="1" applyFill="1" applyBorder="1" applyAlignment="1">
      <alignment horizontal="center" vertical="center"/>
    </xf>
    <xf numFmtId="0" fontId="99" fillId="25" borderId="13" xfId="0" applyFont="1" applyFill="1" applyBorder="1" applyAlignment="1">
      <alignment horizontal="center" vertical="center"/>
    </xf>
    <xf numFmtId="0" fontId="102" fillId="22" borderId="13" xfId="0" applyFont="1" applyFill="1" applyBorder="1" applyAlignment="1">
      <alignment horizontal="center" vertical="center"/>
    </xf>
    <xf numFmtId="0" fontId="103" fillId="31" borderId="0" xfId="0" applyFont="1" applyFill="1" applyAlignment="1">
      <alignment vertical="center"/>
    </xf>
    <xf numFmtId="0" fontId="103" fillId="31" borderId="0" xfId="0" applyFont="1" applyFill="1" applyAlignment="1">
      <alignment horizontal="center" vertical="center"/>
    </xf>
    <xf numFmtId="0" fontId="104" fillId="22" borderId="0" xfId="0" applyFont="1" applyFill="1" applyAlignment="1">
      <alignment vertical="center"/>
    </xf>
    <xf numFmtId="0" fontId="104" fillId="22" borderId="8" xfId="0" applyFont="1" applyFill="1" applyBorder="1" applyAlignment="1">
      <alignment vertical="center"/>
    </xf>
    <xf numFmtId="0" fontId="104" fillId="22" borderId="0" xfId="0" applyFont="1" applyFill="1" applyAlignment="1">
      <alignment horizontal="center" vertical="center"/>
    </xf>
    <xf numFmtId="165" fontId="107" fillId="2" borderId="0" xfId="0" applyNumberFormat="1" applyFont="1" applyFill="1" applyAlignment="1">
      <alignment horizontal="center" vertical="center"/>
    </xf>
    <xf numFmtId="1" fontId="107" fillId="2" borderId="0" xfId="0" applyNumberFormat="1" applyFont="1" applyFill="1" applyAlignment="1">
      <alignment horizontal="center" vertical="center"/>
    </xf>
    <xf numFmtId="9" fontId="107" fillId="2" borderId="0" xfId="1" applyFont="1" applyFill="1" applyBorder="1" applyAlignment="1">
      <alignment horizontal="center" vertical="center"/>
    </xf>
    <xf numFmtId="9" fontId="107" fillId="2" borderId="0" xfId="1" applyFont="1" applyFill="1" applyAlignment="1">
      <alignment horizontal="center" vertical="center"/>
    </xf>
    <xf numFmtId="164" fontId="107" fillId="2" borderId="0" xfId="1" applyNumberFormat="1" applyFont="1" applyFill="1" applyBorder="1" applyAlignment="1">
      <alignment horizontal="center" vertical="center"/>
    </xf>
    <xf numFmtId="9" fontId="108" fillId="2" borderId="0" xfId="1" applyFont="1" applyFill="1" applyBorder="1" applyAlignment="1">
      <alignment horizontal="center" vertical="center"/>
    </xf>
    <xf numFmtId="0" fontId="110" fillId="33" borderId="13" xfId="0" applyFont="1" applyFill="1" applyBorder="1" applyAlignment="1">
      <alignment horizontal="center" vertical="center"/>
    </xf>
    <xf numFmtId="0" fontId="106" fillId="2" borderId="0" xfId="0" applyFont="1" applyFill="1"/>
    <xf numFmtId="10" fontId="107" fillId="2" borderId="51" xfId="1" applyNumberFormat="1" applyFont="1" applyFill="1" applyBorder="1" applyAlignment="1">
      <alignment horizontal="center" vertical="center"/>
    </xf>
    <xf numFmtId="9" fontId="107" fillId="2" borderId="51" xfId="1" applyFont="1" applyFill="1" applyBorder="1" applyAlignment="1">
      <alignment horizontal="center" vertical="center"/>
    </xf>
    <xf numFmtId="1" fontId="107" fillId="2" borderId="51" xfId="0" applyNumberFormat="1" applyFont="1" applyFill="1" applyBorder="1" applyAlignment="1">
      <alignment horizontal="left" vertical="center" wrapText="1"/>
    </xf>
    <xf numFmtId="164" fontId="107" fillId="2" borderId="53" xfId="1" applyNumberFormat="1" applyFont="1" applyFill="1" applyBorder="1" applyAlignment="1">
      <alignment horizontal="center" vertical="center"/>
    </xf>
    <xf numFmtId="1" fontId="107" fillId="2" borderId="52" xfId="0" applyNumberFormat="1" applyFont="1" applyFill="1" applyBorder="1" applyAlignment="1">
      <alignment horizontal="center" vertical="center"/>
    </xf>
    <xf numFmtId="9" fontId="107" fillId="2" borderId="52" xfId="1" applyFont="1" applyFill="1" applyBorder="1" applyAlignment="1">
      <alignment horizontal="center" vertical="center"/>
    </xf>
    <xf numFmtId="1" fontId="107" fillId="2" borderId="53" xfId="0" applyNumberFormat="1" applyFont="1" applyFill="1" applyBorder="1" applyAlignment="1">
      <alignment horizontal="left" vertical="center" wrapText="1"/>
    </xf>
    <xf numFmtId="0" fontId="108" fillId="2" borderId="53" xfId="0" applyFont="1" applyFill="1" applyBorder="1" applyAlignment="1">
      <alignment horizontal="left" vertical="center" wrapText="1"/>
    </xf>
    <xf numFmtId="1" fontId="108" fillId="2" borderId="52" xfId="0" applyNumberFormat="1" applyFont="1" applyFill="1" applyBorder="1" applyAlignment="1">
      <alignment horizontal="center" vertical="center"/>
    </xf>
    <xf numFmtId="9" fontId="108" fillId="2" borderId="53" xfId="1" applyFont="1" applyFill="1" applyBorder="1" applyAlignment="1">
      <alignment horizontal="center" vertical="center"/>
    </xf>
    <xf numFmtId="9" fontId="108" fillId="2" borderId="52" xfId="1" applyFont="1" applyFill="1" applyBorder="1" applyAlignment="1">
      <alignment horizontal="center" vertical="center"/>
    </xf>
    <xf numFmtId="0" fontId="110" fillId="33" borderId="0" xfId="0" applyFont="1" applyFill="1" applyAlignment="1">
      <alignment horizontal="center" vertical="center"/>
    </xf>
    <xf numFmtId="0" fontId="110" fillId="33" borderId="51" xfId="0" applyFont="1" applyFill="1" applyBorder="1" applyAlignment="1">
      <alignment horizontal="center" vertical="center"/>
    </xf>
    <xf numFmtId="1" fontId="62" fillId="30" borderId="0" xfId="0" applyNumberFormat="1" applyFont="1" applyFill="1" applyAlignment="1">
      <alignment horizontal="center" vertical="center"/>
    </xf>
    <xf numFmtId="1" fontId="78" fillId="30" borderId="0" xfId="0" applyNumberFormat="1" applyFont="1" applyFill="1" applyAlignment="1">
      <alignment horizontal="center" vertical="center"/>
    </xf>
    <xf numFmtId="1" fontId="79" fillId="30" borderId="0" xfId="0" applyNumberFormat="1" applyFont="1" applyFill="1" applyAlignment="1">
      <alignment horizontal="center" vertical="center"/>
    </xf>
    <xf numFmtId="0" fontId="7" fillId="30" borderId="0" xfId="0" applyFont="1" applyFill="1"/>
    <xf numFmtId="0" fontId="7" fillId="30" borderId="0" xfId="0" applyFont="1" applyFill="1" applyAlignment="1">
      <alignment horizontal="left"/>
    </xf>
    <xf numFmtId="1" fontId="10" fillId="30" borderId="0" xfId="0" applyNumberFormat="1" applyFont="1" applyFill="1" applyAlignment="1">
      <alignment horizontal="center"/>
    </xf>
    <xf numFmtId="1" fontId="10" fillId="30" borderId="0" xfId="0" applyNumberFormat="1" applyFont="1" applyFill="1"/>
    <xf numFmtId="1" fontId="11" fillId="30" borderId="0" xfId="0" applyNumberFormat="1" applyFont="1" applyFill="1"/>
    <xf numFmtId="0" fontId="13" fillId="30" borderId="0" xfId="0" applyFont="1" applyFill="1" applyAlignment="1">
      <alignment vertical="top"/>
    </xf>
    <xf numFmtId="0" fontId="24" fillId="30" borderId="0" xfId="0" applyFont="1" applyFill="1"/>
    <xf numFmtId="0" fontId="26" fillId="30" borderId="0" xfId="0" applyFont="1" applyFill="1" applyAlignment="1">
      <alignment horizontal="center"/>
    </xf>
    <xf numFmtId="0" fontId="7" fillId="30" borderId="0" xfId="0" applyFont="1" applyFill="1" applyAlignment="1">
      <alignment horizontal="center" vertical="center"/>
    </xf>
    <xf numFmtId="0" fontId="26" fillId="34" borderId="0" xfId="0" applyFont="1" applyFill="1" applyAlignment="1">
      <alignment horizontal="center"/>
    </xf>
    <xf numFmtId="0" fontId="7" fillId="32" borderId="0" xfId="0" applyFont="1" applyFill="1" applyAlignment="1">
      <alignment horizontal="center"/>
    </xf>
    <xf numFmtId="0" fontId="27" fillId="29" borderId="0" xfId="0" applyFont="1" applyFill="1" applyAlignment="1">
      <alignment horizontal="center"/>
    </xf>
    <xf numFmtId="0" fontId="111" fillId="2" borderId="0" xfId="0" applyFont="1" applyFill="1" applyAlignment="1">
      <alignment vertical="center"/>
    </xf>
    <xf numFmtId="0" fontId="112" fillId="2" borderId="0" xfId="0" applyFont="1" applyFill="1" applyAlignment="1">
      <alignment vertical="center"/>
    </xf>
    <xf numFmtId="0" fontId="10" fillId="15" borderId="0" xfId="0" applyFont="1" applyFill="1" applyAlignment="1">
      <alignment horizontal="left" vertical="center"/>
    </xf>
    <xf numFmtId="0" fontId="12" fillId="30" borderId="0" xfId="0" applyFont="1" applyFill="1" applyAlignment="1">
      <alignment vertical="top" wrapText="1"/>
    </xf>
    <xf numFmtId="0" fontId="7" fillId="30" borderId="0" xfId="0" applyFont="1" applyFill="1" applyAlignment="1">
      <alignment horizontal="center" vertical="top"/>
    </xf>
    <xf numFmtId="0" fontId="7" fillId="30" borderId="0" xfId="0" applyFont="1" applyFill="1" applyAlignment="1">
      <alignment vertical="top"/>
    </xf>
    <xf numFmtId="0" fontId="7" fillId="30" borderId="0" xfId="0" applyFont="1" applyFill="1" applyAlignment="1">
      <alignment horizontal="center"/>
    </xf>
    <xf numFmtId="0" fontId="12" fillId="30" borderId="0" xfId="0" applyFont="1" applyFill="1" applyAlignment="1">
      <alignment horizontal="center" vertical="top" wrapText="1"/>
    </xf>
    <xf numFmtId="0" fontId="7" fillId="8" borderId="0" xfId="0" applyFont="1" applyFill="1" applyAlignment="1">
      <alignment horizontal="center" vertical="top" wrapText="1"/>
    </xf>
    <xf numFmtId="0" fontId="12" fillId="30" borderId="0" xfId="0" applyFont="1" applyFill="1" applyAlignment="1">
      <alignment horizontal="center" vertical="center" wrapText="1"/>
    </xf>
    <xf numFmtId="0" fontId="7" fillId="8" borderId="0" xfId="0" applyFont="1" applyFill="1" applyAlignment="1">
      <alignment horizontal="center" vertical="center" wrapText="1"/>
    </xf>
    <xf numFmtId="1" fontId="98" fillId="2" borderId="54" xfId="0" applyNumberFormat="1" applyFont="1" applyFill="1" applyBorder="1" applyAlignment="1">
      <alignment horizontal="left" vertical="center" wrapText="1"/>
    </xf>
    <xf numFmtId="9" fontId="98" fillId="2" borderId="54" xfId="1" applyFont="1" applyFill="1" applyBorder="1" applyAlignment="1">
      <alignment horizontal="center" vertical="center"/>
    </xf>
    <xf numFmtId="1" fontId="98" fillId="2" borderId="0" xfId="1" applyNumberFormat="1" applyFont="1" applyFill="1" applyAlignment="1">
      <alignment horizontal="center" vertical="center"/>
    </xf>
    <xf numFmtId="164" fontId="98" fillId="2" borderId="54" xfId="1" applyNumberFormat="1" applyFont="1" applyFill="1" applyBorder="1" applyAlignment="1">
      <alignment horizontal="center" vertical="center"/>
    </xf>
    <xf numFmtId="1" fontId="98" fillId="2" borderId="55" xfId="0" applyNumberFormat="1" applyFont="1" applyFill="1" applyBorder="1" applyAlignment="1">
      <alignment horizontal="left" vertical="center" wrapText="1"/>
    </xf>
    <xf numFmtId="9" fontId="98" fillId="2" borderId="55" xfId="1" applyFont="1" applyFill="1" applyBorder="1" applyAlignment="1">
      <alignment horizontal="center" vertical="center"/>
    </xf>
    <xf numFmtId="164" fontId="98" fillId="2" borderId="55" xfId="1" applyNumberFormat="1" applyFont="1" applyFill="1" applyBorder="1" applyAlignment="1">
      <alignment horizontal="center" vertical="center"/>
    </xf>
    <xf numFmtId="9" fontId="98" fillId="2" borderId="0" xfId="0" applyNumberFormat="1" applyFont="1" applyFill="1" applyAlignment="1">
      <alignment horizontal="center" vertical="center"/>
    </xf>
    <xf numFmtId="164" fontId="98" fillId="2" borderId="0" xfId="1" applyNumberFormat="1" applyFont="1" applyFill="1" applyAlignment="1">
      <alignment horizontal="center" vertical="center"/>
    </xf>
    <xf numFmtId="1" fontId="98" fillId="2" borderId="55" xfId="0" applyNumberFormat="1" applyFont="1" applyFill="1" applyBorder="1" applyAlignment="1">
      <alignment horizontal="left" vertical="center"/>
    </xf>
    <xf numFmtId="1" fontId="98" fillId="2" borderId="57" xfId="0" applyNumberFormat="1" applyFont="1" applyFill="1" applyBorder="1" applyAlignment="1">
      <alignment horizontal="left" vertical="center" wrapText="1"/>
    </xf>
    <xf numFmtId="1" fontId="98" fillId="2" borderId="56" xfId="0" applyNumberFormat="1" applyFont="1" applyFill="1" applyBorder="1" applyAlignment="1">
      <alignment horizontal="center" vertical="center"/>
    </xf>
    <xf numFmtId="164" fontId="98" fillId="2" borderId="57" xfId="1" applyNumberFormat="1" applyFont="1" applyFill="1" applyBorder="1" applyAlignment="1">
      <alignment horizontal="center" vertical="center"/>
    </xf>
    <xf numFmtId="9" fontId="98" fillId="2" borderId="57" xfId="1" applyFont="1" applyFill="1" applyBorder="1" applyAlignment="1">
      <alignment horizontal="center" vertical="center"/>
    </xf>
    <xf numFmtId="9" fontId="98" fillId="2" borderId="56" xfId="1" applyFont="1" applyFill="1" applyBorder="1" applyAlignment="1">
      <alignment horizontal="center" vertical="center"/>
    </xf>
    <xf numFmtId="0" fontId="67" fillId="2" borderId="59" xfId="0" applyFont="1" applyFill="1" applyBorder="1" applyAlignment="1">
      <alignment horizontal="left" vertical="center" wrapText="1"/>
    </xf>
    <xf numFmtId="1" fontId="67" fillId="2" borderId="58" xfId="0" applyNumberFormat="1" applyFont="1" applyFill="1" applyBorder="1" applyAlignment="1">
      <alignment horizontal="center" vertical="center"/>
    </xf>
    <xf numFmtId="9" fontId="67" fillId="2" borderId="59" xfId="0" applyNumberFormat="1" applyFont="1" applyFill="1" applyBorder="1" applyAlignment="1">
      <alignment horizontal="center" vertical="center"/>
    </xf>
    <xf numFmtId="164" fontId="67" fillId="2" borderId="59" xfId="1" applyNumberFormat="1" applyFont="1" applyFill="1" applyBorder="1" applyAlignment="1">
      <alignment horizontal="center" vertical="center"/>
    </xf>
    <xf numFmtId="164" fontId="67" fillId="2" borderId="58" xfId="1" applyNumberFormat="1" applyFont="1" applyFill="1" applyBorder="1" applyAlignment="1">
      <alignment horizontal="center" vertical="center"/>
    </xf>
    <xf numFmtId="9" fontId="67" fillId="2" borderId="59" xfId="1" applyFont="1" applyFill="1" applyBorder="1" applyAlignment="1">
      <alignment horizontal="center" vertical="center"/>
    </xf>
    <xf numFmtId="9" fontId="98" fillId="2" borderId="0" xfId="1" applyFont="1" applyFill="1" applyAlignment="1">
      <alignment horizontal="center" vertical="center"/>
    </xf>
    <xf numFmtId="9" fontId="67" fillId="2" borderId="58" xfId="1" applyFont="1" applyFill="1" applyBorder="1" applyAlignment="1">
      <alignment horizontal="center" vertical="center"/>
    </xf>
    <xf numFmtId="0" fontId="26" fillId="30" borderId="0" xfId="0" applyFont="1" applyFill="1" applyAlignment="1">
      <alignment vertical="top"/>
    </xf>
    <xf numFmtId="0" fontId="7" fillId="30" borderId="0" xfId="0" applyFont="1" applyFill="1" applyAlignment="1">
      <alignment wrapText="1"/>
    </xf>
    <xf numFmtId="0" fontId="7" fillId="30" borderId="0" xfId="0" applyFont="1" applyFill="1" applyAlignment="1">
      <alignment horizontal="center" wrapText="1"/>
    </xf>
    <xf numFmtId="0" fontId="7" fillId="30" borderId="0" xfId="0" applyFont="1" applyFill="1" applyAlignment="1">
      <alignment horizontal="center" vertical="center" wrapText="1"/>
    </xf>
    <xf numFmtId="0" fontId="103" fillId="25" borderId="0" xfId="0" applyFont="1" applyFill="1" applyAlignment="1">
      <alignment vertical="center"/>
    </xf>
    <xf numFmtId="0" fontId="103" fillId="25" borderId="0" xfId="0" applyFont="1" applyFill="1" applyAlignment="1">
      <alignment horizontal="center" vertical="center"/>
    </xf>
    <xf numFmtId="0" fontId="68" fillId="23" borderId="14" xfId="0" applyFont="1" applyFill="1" applyBorder="1" applyAlignment="1">
      <alignment horizontal="left" vertical="center"/>
    </xf>
    <xf numFmtId="9" fontId="17" fillId="2" borderId="0" xfId="0" applyNumberFormat="1" applyFont="1" applyFill="1" applyAlignment="1">
      <alignment horizontal="center"/>
    </xf>
    <xf numFmtId="0" fontId="58" fillId="2" borderId="0" xfId="0" applyFont="1" applyFill="1" applyAlignment="1">
      <alignment horizontal="center" vertical="center"/>
    </xf>
    <xf numFmtId="1" fontId="17" fillId="2" borderId="0" xfId="0" applyNumberFormat="1" applyFont="1" applyFill="1" applyAlignment="1">
      <alignment horizontal="center"/>
    </xf>
    <xf numFmtId="0" fontId="7" fillId="11" borderId="0" xfId="0" applyFont="1" applyFill="1" applyAlignment="1">
      <alignment horizontal="center" vertical="center"/>
    </xf>
    <xf numFmtId="0" fontId="7" fillId="8" borderId="0" xfId="0" applyFont="1" applyFill="1" applyAlignment="1">
      <alignment horizontal="center" vertical="top"/>
    </xf>
    <xf numFmtId="164" fontId="98" fillId="2" borderId="0" xfId="0" applyNumberFormat="1" applyFont="1" applyFill="1" applyAlignment="1">
      <alignment horizontal="center" vertical="center"/>
    </xf>
    <xf numFmtId="0" fontId="89" fillId="25" borderId="31" xfId="0" applyFont="1" applyFill="1" applyBorder="1" applyAlignment="1">
      <alignment vertical="center" wrapText="1"/>
    </xf>
    <xf numFmtId="0" fontId="89" fillId="25" borderId="0" xfId="0" applyFont="1" applyFill="1" applyAlignment="1">
      <alignment vertical="center" wrapText="1"/>
    </xf>
    <xf numFmtId="0" fontId="89" fillId="25" borderId="0" xfId="0" applyFont="1" applyFill="1" applyAlignment="1">
      <alignment horizontal="center" vertical="center" wrapText="1"/>
    </xf>
    <xf numFmtId="0" fontId="89" fillId="25" borderId="31" xfId="0" applyFont="1" applyFill="1" applyBorder="1" applyAlignment="1">
      <alignment horizontal="center" vertical="center" wrapText="1"/>
    </xf>
    <xf numFmtId="0" fontId="7" fillId="30" borderId="10" xfId="0" applyFont="1" applyFill="1" applyBorder="1" applyAlignment="1">
      <alignment horizontal="center"/>
    </xf>
    <xf numFmtId="0" fontId="12" fillId="30" borderId="10" xfId="0" applyFont="1" applyFill="1" applyBorder="1" applyAlignment="1">
      <alignment horizontal="center" vertical="top" wrapText="1"/>
    </xf>
    <xf numFmtId="167" fontId="17" fillId="2" borderId="10" xfId="0" applyNumberFormat="1" applyFont="1" applyFill="1" applyBorder="1" applyAlignment="1">
      <alignment horizontal="center"/>
    </xf>
    <xf numFmtId="9" fontId="17" fillId="2" borderId="0" xfId="1" applyFont="1" applyFill="1" applyBorder="1" applyAlignment="1">
      <alignment horizontal="center"/>
    </xf>
    <xf numFmtId="0" fontId="17" fillId="2" borderId="10" xfId="0" applyFont="1" applyFill="1" applyBorder="1" applyAlignment="1">
      <alignment horizontal="center"/>
    </xf>
    <xf numFmtId="9" fontId="17" fillId="2" borderId="0" xfId="0" applyNumberFormat="1" applyFont="1" applyFill="1" applyAlignment="1">
      <alignment horizontal="center" vertical="center"/>
    </xf>
    <xf numFmtId="0" fontId="103" fillId="25" borderId="10" xfId="0" applyFont="1" applyFill="1" applyBorder="1" applyAlignment="1">
      <alignment horizontal="center" vertical="center"/>
    </xf>
    <xf numFmtId="0" fontId="7" fillId="30" borderId="10" xfId="0" applyFont="1" applyFill="1" applyBorder="1" applyAlignment="1">
      <alignment horizontal="center" wrapText="1"/>
    </xf>
    <xf numFmtId="9" fontId="17" fillId="2" borderId="10" xfId="0" applyNumberFormat="1" applyFont="1" applyFill="1" applyBorder="1" applyAlignment="1">
      <alignment horizontal="center"/>
    </xf>
    <xf numFmtId="1" fontId="17" fillId="2" borderId="10" xfId="0" applyNumberFormat="1" applyFont="1" applyFill="1" applyBorder="1" applyAlignment="1">
      <alignment horizontal="center"/>
    </xf>
    <xf numFmtId="9" fontId="17" fillId="2" borderId="10" xfId="0" applyNumberFormat="1" applyFont="1" applyFill="1" applyBorder="1" applyAlignment="1">
      <alignment horizontal="center" vertical="center"/>
    </xf>
    <xf numFmtId="0" fontId="7" fillId="9" borderId="10" xfId="0" applyFont="1" applyFill="1" applyBorder="1" applyAlignment="1">
      <alignment horizontal="center" vertical="center"/>
    </xf>
    <xf numFmtId="0" fontId="32" fillId="10" borderId="10" xfId="0" applyFont="1" applyFill="1" applyBorder="1" applyAlignment="1">
      <alignment horizontal="center" vertical="center"/>
    </xf>
    <xf numFmtId="0" fontId="7" fillId="11" borderId="10" xfId="0" applyFont="1" applyFill="1" applyBorder="1" applyAlignment="1">
      <alignment horizontal="center" vertical="center"/>
    </xf>
    <xf numFmtId="0" fontId="58" fillId="2" borderId="0" xfId="0" applyFont="1" applyFill="1" applyAlignment="1">
      <alignment horizontal="center"/>
    </xf>
    <xf numFmtId="0" fontId="7" fillId="12" borderId="10" xfId="0" applyFont="1" applyFill="1" applyBorder="1" applyAlignment="1">
      <alignment horizontal="center" vertical="center"/>
    </xf>
    <xf numFmtId="0" fontId="7" fillId="13" borderId="10" xfId="0" applyFont="1" applyFill="1" applyBorder="1" applyAlignment="1">
      <alignment horizontal="center" vertical="center"/>
    </xf>
    <xf numFmtId="172" fontId="17" fillId="2" borderId="10" xfId="0" applyNumberFormat="1" applyFont="1" applyFill="1" applyBorder="1" applyAlignment="1">
      <alignment horizontal="center"/>
    </xf>
    <xf numFmtId="0" fontId="7" fillId="8" borderId="10" xfId="0" applyFont="1" applyFill="1" applyBorder="1" applyAlignment="1">
      <alignment horizontal="center"/>
    </xf>
    <xf numFmtId="0" fontId="7" fillId="8" borderId="10" xfId="0" applyFont="1" applyFill="1" applyBorder="1" applyAlignment="1">
      <alignment horizontal="center" vertical="top" wrapText="1"/>
    </xf>
    <xf numFmtId="2" fontId="17" fillId="2" borderId="10" xfId="0" applyNumberFormat="1" applyFont="1" applyFill="1" applyBorder="1" applyAlignment="1">
      <alignment horizontal="center"/>
    </xf>
    <xf numFmtId="0" fontId="10" fillId="15" borderId="0" xfId="0" applyFont="1" applyFill="1" applyAlignment="1">
      <alignment horizontal="left"/>
    </xf>
    <xf numFmtId="0" fontId="63" fillId="2" borderId="0" xfId="0" applyFont="1" applyFill="1" applyAlignment="1">
      <alignment vertical="center"/>
    </xf>
    <xf numFmtId="0" fontId="17" fillId="2" borderId="0" xfId="0" applyFont="1" applyFill="1" applyAlignment="1">
      <alignment vertical="center" wrapText="1"/>
    </xf>
    <xf numFmtId="0" fontId="36" fillId="2" borderId="0" xfId="0" applyFont="1" applyFill="1" applyAlignment="1">
      <alignment vertical="center"/>
    </xf>
    <xf numFmtId="0" fontId="36" fillId="2" borderId="0" xfId="0" applyFont="1" applyFill="1" applyAlignment="1">
      <alignment horizontal="center" vertical="center"/>
    </xf>
    <xf numFmtId="1" fontId="17" fillId="2" borderId="0" xfId="0" applyNumberFormat="1" applyFont="1" applyFill="1" applyAlignment="1">
      <alignment vertical="center"/>
    </xf>
    <xf numFmtId="1" fontId="71" fillId="2" borderId="0" xfId="0" applyNumberFormat="1" applyFont="1" applyFill="1" applyAlignment="1">
      <alignment vertical="center"/>
    </xf>
    <xf numFmtId="9" fontId="11" fillId="2" borderId="0" xfId="0" applyNumberFormat="1" applyFont="1" applyFill="1" applyAlignment="1">
      <alignment horizontal="center" vertical="center"/>
    </xf>
    <xf numFmtId="0" fontId="114" fillId="16" borderId="13" xfId="0" applyFont="1" applyFill="1" applyBorder="1" applyAlignment="1">
      <alignment horizontal="center" vertical="center"/>
    </xf>
    <xf numFmtId="0" fontId="114" fillId="16" borderId="25" xfId="0" applyFont="1" applyFill="1" applyBorder="1" applyAlignment="1">
      <alignment horizontal="center" vertical="center"/>
    </xf>
    <xf numFmtId="9" fontId="116" fillId="2" borderId="0" xfId="1" applyFont="1" applyFill="1" applyBorder="1" applyAlignment="1">
      <alignment horizontal="center" vertical="center"/>
    </xf>
    <xf numFmtId="164" fontId="116" fillId="2" borderId="0" xfId="1" applyNumberFormat="1" applyFont="1" applyFill="1" applyBorder="1" applyAlignment="1">
      <alignment horizontal="center" vertical="center"/>
    </xf>
    <xf numFmtId="9" fontId="116" fillId="2" borderId="60" xfId="1" applyFont="1" applyFill="1" applyBorder="1" applyAlignment="1">
      <alignment horizontal="left" vertical="center"/>
    </xf>
    <xf numFmtId="9" fontId="116" fillId="2" borderId="61" xfId="1" applyFont="1" applyFill="1" applyBorder="1" applyAlignment="1">
      <alignment horizontal="left" vertical="center"/>
    </xf>
    <xf numFmtId="1" fontId="116" fillId="2" borderId="61" xfId="0" applyNumberFormat="1" applyFont="1" applyFill="1" applyBorder="1" applyAlignment="1">
      <alignment horizontal="left"/>
    </xf>
    <xf numFmtId="0" fontId="116" fillId="2" borderId="63" xfId="0" applyFont="1" applyFill="1" applyBorder="1" applyAlignment="1">
      <alignment horizontal="left" vertical="center" wrapText="1"/>
    </xf>
    <xf numFmtId="9" fontId="116" fillId="2" borderId="62" xfId="1" applyFont="1" applyFill="1" applyBorder="1" applyAlignment="1">
      <alignment horizontal="center" vertical="center"/>
    </xf>
    <xf numFmtId="164" fontId="28" fillId="2" borderId="65" xfId="1" applyNumberFormat="1" applyFont="1" applyFill="1" applyBorder="1" applyAlignment="1">
      <alignment horizontal="center" vertical="center"/>
    </xf>
    <xf numFmtId="9" fontId="116" fillId="2" borderId="60" xfId="1" applyFont="1" applyFill="1" applyBorder="1" applyAlignment="1">
      <alignment horizontal="center" vertical="center"/>
    </xf>
    <xf numFmtId="164" fontId="116" fillId="2" borderId="61" xfId="1" applyNumberFormat="1" applyFont="1" applyFill="1" applyBorder="1" applyAlignment="1">
      <alignment horizontal="center" vertical="center"/>
    </xf>
    <xf numFmtId="9" fontId="116" fillId="2" borderId="61" xfId="1" applyFont="1" applyFill="1" applyBorder="1" applyAlignment="1">
      <alignment horizontal="center" vertical="center"/>
    </xf>
    <xf numFmtId="10" fontId="116" fillId="2" borderId="61" xfId="1" applyNumberFormat="1" applyFont="1" applyFill="1" applyBorder="1" applyAlignment="1">
      <alignment horizontal="center" vertical="center"/>
    </xf>
    <xf numFmtId="9" fontId="28" fillId="2" borderId="65" xfId="1" applyFont="1" applyFill="1" applyBorder="1" applyAlignment="1">
      <alignment horizontal="center" vertical="center"/>
    </xf>
    <xf numFmtId="9" fontId="116" fillId="2" borderId="63" xfId="1" applyFont="1" applyFill="1" applyBorder="1" applyAlignment="1">
      <alignment horizontal="center" vertical="center"/>
    </xf>
    <xf numFmtId="164" fontId="116" fillId="2" borderId="60" xfId="1" applyNumberFormat="1" applyFont="1" applyFill="1" applyBorder="1" applyAlignment="1">
      <alignment horizontal="center" vertical="center"/>
    </xf>
    <xf numFmtId="9" fontId="28" fillId="2" borderId="64" xfId="1" applyFont="1" applyFill="1" applyBorder="1" applyAlignment="1">
      <alignment horizontal="center" vertical="center"/>
    </xf>
    <xf numFmtId="164" fontId="28" fillId="2" borderId="64" xfId="1" applyNumberFormat="1" applyFont="1" applyFill="1" applyBorder="1" applyAlignment="1">
      <alignment horizontal="center" vertical="center"/>
    </xf>
    <xf numFmtId="0" fontId="116" fillId="2" borderId="65" xfId="0" applyFont="1" applyFill="1" applyBorder="1" applyAlignment="1">
      <alignment horizontal="left" vertical="center" wrapText="1"/>
    </xf>
    <xf numFmtId="0" fontId="113" fillId="16" borderId="31" xfId="0" applyFont="1" applyFill="1" applyBorder="1" applyAlignment="1">
      <alignment vertical="center" wrapText="1"/>
    </xf>
    <xf numFmtId="0" fontId="113" fillId="16" borderId="0" xfId="0" applyFont="1" applyFill="1" applyAlignment="1">
      <alignment vertical="center" wrapText="1"/>
    </xf>
    <xf numFmtId="0" fontId="113" fillId="16" borderId="0" xfId="0" applyFont="1" applyFill="1" applyAlignment="1">
      <alignment horizontal="center" vertical="center" wrapText="1"/>
    </xf>
    <xf numFmtId="1" fontId="118" fillId="2" borderId="66" xfId="0" applyNumberFormat="1" applyFont="1" applyFill="1" applyBorder="1" applyAlignment="1">
      <alignment horizontal="left" vertical="center"/>
    </xf>
    <xf numFmtId="1" fontId="118" fillId="2" borderId="67" xfId="0" applyNumberFormat="1" applyFont="1" applyFill="1" applyBorder="1" applyAlignment="1">
      <alignment horizontal="left" vertical="center"/>
    </xf>
    <xf numFmtId="0" fontId="118" fillId="2" borderId="68" xfId="0" applyFont="1" applyFill="1" applyBorder="1" applyAlignment="1">
      <alignment horizontal="left" vertical="center"/>
    </xf>
    <xf numFmtId="0" fontId="119" fillId="2" borderId="68" xfId="0" applyFont="1" applyFill="1" applyBorder="1" applyAlignment="1">
      <alignment horizontal="left" vertical="center"/>
    </xf>
    <xf numFmtId="1" fontId="119" fillId="2" borderId="69" xfId="1" applyNumberFormat="1" applyFont="1" applyFill="1" applyBorder="1" applyAlignment="1">
      <alignment horizontal="center" vertical="center"/>
    </xf>
    <xf numFmtId="9" fontId="119" fillId="2" borderId="68" xfId="1" applyFont="1" applyFill="1" applyBorder="1" applyAlignment="1">
      <alignment horizontal="center" vertical="center"/>
    </xf>
    <xf numFmtId="1" fontId="119" fillId="2" borderId="70" xfId="1" applyNumberFormat="1" applyFont="1" applyFill="1" applyBorder="1" applyAlignment="1">
      <alignment horizontal="center" vertical="center"/>
    </xf>
    <xf numFmtId="9" fontId="119" fillId="2" borderId="69" xfId="1" applyFont="1" applyFill="1" applyBorder="1" applyAlignment="1">
      <alignment horizontal="center" vertical="center"/>
    </xf>
    <xf numFmtId="1" fontId="118" fillId="2" borderId="0" xfId="0" applyNumberFormat="1" applyFont="1" applyFill="1" applyAlignment="1">
      <alignment horizontal="center" vertical="center"/>
    </xf>
    <xf numFmtId="9" fontId="118" fillId="2" borderId="66" xfId="1" applyFont="1" applyFill="1" applyBorder="1" applyAlignment="1">
      <alignment horizontal="center" vertical="center"/>
    </xf>
    <xf numFmtId="1" fontId="118" fillId="2" borderId="0" xfId="1" applyNumberFormat="1" applyFont="1" applyFill="1" applyBorder="1" applyAlignment="1">
      <alignment horizontal="center" vertical="center"/>
    </xf>
    <xf numFmtId="164" fontId="118" fillId="2" borderId="66" xfId="1" applyNumberFormat="1" applyFont="1" applyFill="1" applyBorder="1" applyAlignment="1">
      <alignment horizontal="center" vertical="center"/>
    </xf>
    <xf numFmtId="9" fontId="118" fillId="2" borderId="0" xfId="1" applyFont="1" applyFill="1" applyBorder="1" applyAlignment="1">
      <alignment horizontal="center" vertical="center"/>
    </xf>
    <xf numFmtId="9" fontId="118" fillId="2" borderId="67" xfId="1" applyFont="1" applyFill="1" applyBorder="1" applyAlignment="1">
      <alignment horizontal="center" vertical="center"/>
    </xf>
    <xf numFmtId="164" fontId="118" fillId="2" borderId="67" xfId="1" applyNumberFormat="1" applyFont="1" applyFill="1" applyBorder="1" applyAlignment="1">
      <alignment horizontal="center" vertical="center"/>
    </xf>
    <xf numFmtId="165" fontId="118" fillId="2" borderId="0" xfId="1" applyNumberFormat="1" applyFont="1" applyFill="1" applyBorder="1" applyAlignment="1">
      <alignment horizontal="center" vertical="center"/>
    </xf>
    <xf numFmtId="1" fontId="118" fillId="2" borderId="69" xfId="1" applyNumberFormat="1" applyFont="1" applyFill="1" applyBorder="1" applyAlignment="1">
      <alignment horizontal="center" vertical="center"/>
    </xf>
    <xf numFmtId="10" fontId="118" fillId="2" borderId="68" xfId="1" applyNumberFormat="1" applyFont="1" applyFill="1" applyBorder="1" applyAlignment="1">
      <alignment horizontal="center" vertical="center"/>
    </xf>
    <xf numFmtId="9" fontId="118" fillId="2" borderId="68" xfId="1" applyFont="1" applyFill="1" applyBorder="1" applyAlignment="1">
      <alignment horizontal="center" vertical="center"/>
    </xf>
    <xf numFmtId="9" fontId="118" fillId="2" borderId="69" xfId="1" applyFont="1" applyFill="1" applyBorder="1" applyAlignment="1">
      <alignment horizontal="center" vertical="center"/>
    </xf>
    <xf numFmtId="9" fontId="118" fillId="2" borderId="15" xfId="1" applyFont="1" applyFill="1" applyBorder="1" applyAlignment="1">
      <alignment horizontal="center" vertical="center"/>
    </xf>
    <xf numFmtId="0" fontId="120" fillId="2" borderId="0" xfId="0" applyFont="1" applyFill="1"/>
    <xf numFmtId="9" fontId="120" fillId="2" borderId="0" xfId="1" applyFont="1" applyFill="1" applyBorder="1" applyAlignment="1">
      <alignment horizontal="center" vertical="center"/>
    </xf>
    <xf numFmtId="164" fontId="120" fillId="2" borderId="0" xfId="1" applyNumberFormat="1" applyFont="1" applyFill="1" applyBorder="1" applyAlignment="1">
      <alignment horizontal="center" vertical="center"/>
    </xf>
    <xf numFmtId="9" fontId="34" fillId="2" borderId="0" xfId="1" applyFont="1" applyFill="1" applyBorder="1" applyAlignment="1">
      <alignment horizontal="center" vertical="center"/>
    </xf>
    <xf numFmtId="0" fontId="34" fillId="2" borderId="0" xfId="0" applyFont="1" applyFill="1" applyAlignment="1">
      <alignment horizontal="left"/>
    </xf>
    <xf numFmtId="0" fontId="120" fillId="2" borderId="0" xfId="0" applyFont="1" applyFill="1" applyAlignment="1">
      <alignment horizontal="center"/>
    </xf>
    <xf numFmtId="1" fontId="120" fillId="2" borderId="0" xfId="0" applyNumberFormat="1" applyFont="1" applyFill="1" applyAlignment="1">
      <alignment horizontal="center" vertical="center"/>
    </xf>
    <xf numFmtId="1" fontId="120" fillId="2" borderId="0" xfId="1" applyNumberFormat="1" applyFont="1" applyFill="1" applyBorder="1" applyAlignment="1">
      <alignment horizontal="center" vertical="center"/>
    </xf>
    <xf numFmtId="165" fontId="120" fillId="2" borderId="0" xfId="1" applyNumberFormat="1" applyFont="1" applyFill="1" applyBorder="1" applyAlignment="1">
      <alignment horizontal="center" vertical="center"/>
    </xf>
    <xf numFmtId="0" fontId="122" fillId="18" borderId="13" xfId="0" applyFont="1" applyFill="1" applyBorder="1" applyAlignment="1">
      <alignment horizontal="center" vertical="center"/>
    </xf>
    <xf numFmtId="0" fontId="122" fillId="18" borderId="25" xfId="0" applyFont="1" applyFill="1" applyBorder="1" applyAlignment="1">
      <alignment horizontal="center" vertical="center"/>
    </xf>
    <xf numFmtId="1" fontId="120" fillId="2" borderId="71" xfId="0" applyNumberFormat="1" applyFont="1" applyFill="1" applyBorder="1" applyAlignment="1">
      <alignment vertical="center"/>
    </xf>
    <xf numFmtId="1" fontId="120" fillId="2" borderId="72" xfId="0" applyNumberFormat="1" applyFont="1" applyFill="1" applyBorder="1" applyAlignment="1">
      <alignment vertical="center"/>
    </xf>
    <xf numFmtId="9" fontId="120" fillId="2" borderId="71" xfId="1" applyFont="1" applyFill="1" applyBorder="1" applyAlignment="1">
      <alignment horizontal="center" vertical="center"/>
    </xf>
    <xf numFmtId="9" fontId="120" fillId="2" borderId="72" xfId="1" applyFont="1" applyFill="1" applyBorder="1" applyAlignment="1">
      <alignment horizontal="center" vertical="center"/>
    </xf>
    <xf numFmtId="164" fontId="120" fillId="2" borderId="71" xfId="1" applyNumberFormat="1" applyFont="1" applyFill="1" applyBorder="1" applyAlignment="1">
      <alignment horizontal="center" vertical="center"/>
    </xf>
    <xf numFmtId="164" fontId="120" fillId="2" borderId="72" xfId="1" applyNumberFormat="1" applyFont="1" applyFill="1" applyBorder="1" applyAlignment="1">
      <alignment horizontal="center" vertical="center"/>
    </xf>
    <xf numFmtId="10" fontId="120" fillId="2" borderId="72" xfId="1" applyNumberFormat="1" applyFont="1" applyFill="1" applyBorder="1" applyAlignment="1">
      <alignment horizontal="center" vertical="center"/>
    </xf>
    <xf numFmtId="9" fontId="34" fillId="2" borderId="73" xfId="1" applyFont="1" applyFill="1" applyBorder="1" applyAlignment="1">
      <alignment horizontal="center" vertical="center"/>
    </xf>
    <xf numFmtId="1" fontId="34" fillId="2" borderId="74" xfId="1" applyNumberFormat="1" applyFont="1" applyFill="1" applyBorder="1" applyAlignment="1">
      <alignment horizontal="center" vertical="center"/>
    </xf>
    <xf numFmtId="164" fontId="34" fillId="2" borderId="73" xfId="1" applyNumberFormat="1" applyFont="1" applyFill="1" applyBorder="1" applyAlignment="1">
      <alignment horizontal="center" vertical="center"/>
    </xf>
    <xf numFmtId="1" fontId="34" fillId="2" borderId="75" xfId="1" applyNumberFormat="1" applyFont="1" applyFill="1" applyBorder="1" applyAlignment="1">
      <alignment horizontal="center" vertical="center"/>
    </xf>
    <xf numFmtId="9" fontId="34" fillId="2" borderId="76" xfId="1" applyFont="1" applyFill="1" applyBorder="1" applyAlignment="1">
      <alignment horizontal="center" vertical="center"/>
    </xf>
    <xf numFmtId="164" fontId="34" fillId="2" borderId="76" xfId="1" applyNumberFormat="1" applyFont="1" applyFill="1" applyBorder="1" applyAlignment="1">
      <alignment horizontal="center" vertical="center"/>
    </xf>
    <xf numFmtId="164" fontId="34" fillId="2" borderId="75" xfId="1" applyNumberFormat="1" applyFont="1" applyFill="1" applyBorder="1" applyAlignment="1">
      <alignment horizontal="center" vertical="center"/>
    </xf>
    <xf numFmtId="0" fontId="34" fillId="2" borderId="76" xfId="0" applyFont="1" applyFill="1" applyBorder="1" applyAlignment="1">
      <alignment horizontal="left" vertical="center"/>
    </xf>
    <xf numFmtId="0" fontId="34" fillId="2" borderId="73" xfId="0" applyFont="1" applyFill="1" applyBorder="1" applyAlignment="1">
      <alignment horizontal="left" vertical="center"/>
    </xf>
    <xf numFmtId="1" fontId="120" fillId="2" borderId="73" xfId="0" applyNumberFormat="1" applyFont="1" applyFill="1" applyBorder="1" applyAlignment="1">
      <alignment vertical="center"/>
    </xf>
    <xf numFmtId="165" fontId="120" fillId="2" borderId="74" xfId="1" applyNumberFormat="1" applyFont="1" applyFill="1" applyBorder="1" applyAlignment="1">
      <alignment horizontal="center" vertical="center"/>
    </xf>
    <xf numFmtId="164" fontId="120" fillId="2" borderId="73" xfId="1" applyNumberFormat="1" applyFont="1" applyFill="1" applyBorder="1" applyAlignment="1">
      <alignment horizontal="center" vertical="center"/>
    </xf>
    <xf numFmtId="9" fontId="120" fillId="2" borderId="73" xfId="1" applyFont="1" applyFill="1" applyBorder="1" applyAlignment="1">
      <alignment horizontal="center" vertical="center"/>
    </xf>
    <xf numFmtId="9" fontId="120" fillId="2" borderId="74" xfId="1" applyFont="1" applyFill="1" applyBorder="1" applyAlignment="1">
      <alignment horizontal="center" vertical="center"/>
    </xf>
    <xf numFmtId="9" fontId="34" fillId="2" borderId="74" xfId="1" applyFont="1" applyFill="1" applyBorder="1" applyAlignment="1">
      <alignment horizontal="center" vertical="center"/>
    </xf>
    <xf numFmtId="2" fontId="120" fillId="2" borderId="0" xfId="1" applyNumberFormat="1" applyFont="1" applyFill="1" applyBorder="1" applyAlignment="1">
      <alignment horizontal="center" vertical="center"/>
    </xf>
    <xf numFmtId="1" fontId="120" fillId="6" borderId="71" xfId="0" applyNumberFormat="1" applyFont="1" applyFill="1" applyBorder="1" applyAlignment="1">
      <alignment vertical="center"/>
    </xf>
    <xf numFmtId="1" fontId="120" fillId="6" borderId="72" xfId="0" applyNumberFormat="1" applyFont="1" applyFill="1" applyBorder="1" applyAlignment="1">
      <alignment vertical="center"/>
    </xf>
    <xf numFmtId="1" fontId="120" fillId="6" borderId="72" xfId="0" applyNumberFormat="1" applyFont="1" applyFill="1" applyBorder="1"/>
    <xf numFmtId="1" fontId="120" fillId="6" borderId="73" xfId="0" applyNumberFormat="1" applyFont="1" applyFill="1" applyBorder="1"/>
    <xf numFmtId="1" fontId="120" fillId="2" borderId="74" xfId="0" applyNumberFormat="1" applyFont="1" applyFill="1" applyBorder="1" applyAlignment="1">
      <alignment horizontal="center" vertical="center"/>
    </xf>
    <xf numFmtId="164" fontId="34" fillId="2" borderId="74" xfId="1" applyNumberFormat="1" applyFont="1" applyFill="1" applyBorder="1" applyAlignment="1">
      <alignment horizontal="center" vertical="center"/>
    </xf>
    <xf numFmtId="165" fontId="120" fillId="2" borderId="0" xfId="0" applyNumberFormat="1" applyFont="1" applyFill="1" applyAlignment="1">
      <alignment horizontal="center" vertical="center"/>
    </xf>
    <xf numFmtId="0" fontId="121" fillId="18" borderId="0" xfId="0" applyFont="1" applyFill="1" applyAlignment="1">
      <alignment horizontal="center" vertical="center" wrapText="1"/>
    </xf>
    <xf numFmtId="0" fontId="113" fillId="16" borderId="31" xfId="0" applyFont="1" applyFill="1" applyBorder="1" applyAlignment="1">
      <alignment horizontal="center" vertical="center" wrapText="1"/>
    </xf>
    <xf numFmtId="1" fontId="116" fillId="2" borderId="0" xfId="1" applyNumberFormat="1" applyFont="1" applyFill="1" applyBorder="1" applyAlignment="1">
      <alignment horizontal="center" vertical="center"/>
    </xf>
    <xf numFmtId="165" fontId="116" fillId="2" borderId="0" xfId="1" applyNumberFormat="1" applyFont="1" applyFill="1" applyBorder="1" applyAlignment="1">
      <alignment horizontal="center" vertical="center"/>
    </xf>
    <xf numFmtId="1" fontId="116" fillId="2" borderId="0" xfId="0" applyNumberFormat="1" applyFont="1" applyFill="1" applyAlignment="1">
      <alignment horizontal="center" vertical="center"/>
    </xf>
    <xf numFmtId="1" fontId="116" fillId="2" borderId="62" xfId="1" applyNumberFormat="1" applyFont="1" applyFill="1" applyBorder="1" applyAlignment="1">
      <alignment horizontal="center" vertical="center"/>
    </xf>
    <xf numFmtId="1" fontId="28" fillId="2" borderId="64" xfId="1" applyNumberFormat="1" applyFont="1" applyFill="1" applyBorder="1" applyAlignment="1">
      <alignment horizontal="center" vertical="center"/>
    </xf>
    <xf numFmtId="0" fontId="124" fillId="19" borderId="0" xfId="0" applyFont="1" applyFill="1" applyAlignment="1">
      <alignment horizontal="center" vertical="center" wrapText="1"/>
    </xf>
    <xf numFmtId="0" fontId="125" fillId="19" borderId="13" xfId="0" applyFont="1" applyFill="1" applyBorder="1" applyAlignment="1">
      <alignment horizontal="center" vertical="center"/>
    </xf>
    <xf numFmtId="0" fontId="125" fillId="19" borderId="25" xfId="0" applyFont="1" applyFill="1" applyBorder="1" applyAlignment="1">
      <alignment horizontal="center" vertical="center"/>
    </xf>
    <xf numFmtId="1" fontId="127" fillId="2" borderId="0" xfId="0" applyNumberFormat="1" applyFont="1" applyFill="1" applyAlignment="1">
      <alignment horizontal="center" vertical="center"/>
    </xf>
    <xf numFmtId="1" fontId="127" fillId="2" borderId="0" xfId="1" applyNumberFormat="1" applyFont="1" applyFill="1" applyBorder="1" applyAlignment="1">
      <alignment horizontal="center" vertical="center"/>
    </xf>
    <xf numFmtId="9" fontId="127" fillId="2" borderId="0" xfId="1" applyFont="1" applyFill="1" applyBorder="1" applyAlignment="1">
      <alignment horizontal="center" vertical="center"/>
    </xf>
    <xf numFmtId="1" fontId="125" fillId="2" borderId="80" xfId="0" applyNumberFormat="1" applyFont="1" applyFill="1" applyBorder="1" applyAlignment="1">
      <alignment vertical="center"/>
    </xf>
    <xf numFmtId="1" fontId="125" fillId="2" borderId="79" xfId="0" applyNumberFormat="1" applyFont="1" applyFill="1" applyBorder="1" applyAlignment="1">
      <alignment vertical="center"/>
    </xf>
    <xf numFmtId="1" fontId="125" fillId="2" borderId="82" xfId="0" applyNumberFormat="1" applyFont="1" applyFill="1" applyBorder="1" applyAlignment="1">
      <alignment vertical="center"/>
    </xf>
    <xf numFmtId="1" fontId="127" fillId="2" borderId="81" xfId="1" applyNumberFormat="1" applyFont="1" applyFill="1" applyBorder="1" applyAlignment="1">
      <alignment horizontal="center" vertical="center"/>
    </xf>
    <xf numFmtId="1" fontId="124" fillId="2" borderId="82" xfId="0" applyNumberFormat="1" applyFont="1" applyFill="1" applyBorder="1" applyAlignment="1">
      <alignment vertical="center"/>
    </xf>
    <xf numFmtId="1" fontId="39" fillId="2" borderId="81" xfId="1" applyNumberFormat="1" applyFont="1" applyFill="1" applyBorder="1" applyAlignment="1">
      <alignment horizontal="center" vertical="center"/>
    </xf>
    <xf numFmtId="9" fontId="39" fillId="2" borderId="81" xfId="1" applyFont="1" applyFill="1" applyBorder="1" applyAlignment="1">
      <alignment horizontal="center" vertical="center"/>
    </xf>
    <xf numFmtId="165" fontId="127" fillId="2" borderId="0" xfId="1" applyNumberFormat="1" applyFont="1" applyFill="1" applyBorder="1" applyAlignment="1">
      <alignment horizontal="center" vertical="center"/>
    </xf>
    <xf numFmtId="165" fontId="127" fillId="2" borderId="81" xfId="1" applyNumberFormat="1" applyFont="1" applyFill="1" applyBorder="1" applyAlignment="1">
      <alignment horizontal="center" vertical="center"/>
    </xf>
    <xf numFmtId="164" fontId="127" fillId="2" borderId="80" xfId="1" applyNumberFormat="1" applyFont="1" applyFill="1" applyBorder="1" applyAlignment="1">
      <alignment horizontal="center" vertical="center"/>
    </xf>
    <xf numFmtId="9" fontId="127" fillId="2" borderId="79" xfId="1" applyFont="1" applyFill="1" applyBorder="1" applyAlignment="1">
      <alignment horizontal="center" vertical="center"/>
    </xf>
    <xf numFmtId="164" fontId="127" fillId="2" borderId="79" xfId="1" applyNumberFormat="1" applyFont="1" applyFill="1" applyBorder="1" applyAlignment="1">
      <alignment horizontal="center" vertical="center"/>
    </xf>
    <xf numFmtId="10" fontId="127" fillId="2" borderId="82" xfId="1" applyNumberFormat="1" applyFont="1" applyFill="1" applyBorder="1" applyAlignment="1">
      <alignment horizontal="center" vertical="center"/>
    </xf>
    <xf numFmtId="9" fontId="39" fillId="2" borderId="82" xfId="1" applyFont="1" applyFill="1" applyBorder="1" applyAlignment="1">
      <alignment horizontal="center" vertical="center"/>
    </xf>
    <xf numFmtId="10" fontId="127" fillId="2" borderId="79" xfId="1" applyNumberFormat="1" applyFont="1" applyFill="1" applyBorder="1" applyAlignment="1">
      <alignment horizontal="center" vertical="center"/>
    </xf>
    <xf numFmtId="9" fontId="127" fillId="2" borderId="82" xfId="1" applyFont="1" applyFill="1" applyBorder="1" applyAlignment="1">
      <alignment horizontal="center" vertical="center"/>
    </xf>
    <xf numFmtId="9" fontId="127" fillId="2" borderId="80" xfId="1" applyFont="1" applyFill="1" applyBorder="1" applyAlignment="1">
      <alignment horizontal="center" vertical="center"/>
    </xf>
    <xf numFmtId="1" fontId="125" fillId="2" borderId="80" xfId="0" applyNumberFormat="1" applyFont="1" applyFill="1" applyBorder="1" applyAlignment="1">
      <alignment horizontal="left" vertical="center"/>
    </xf>
    <xf numFmtId="1" fontId="125" fillId="2" borderId="79" xfId="0" applyNumberFormat="1" applyFont="1" applyFill="1" applyBorder="1" applyAlignment="1">
      <alignment horizontal="left" vertical="center"/>
    </xf>
    <xf numFmtId="164" fontId="39" fillId="2" borderId="82" xfId="1" applyNumberFormat="1" applyFont="1" applyFill="1" applyBorder="1" applyAlignment="1">
      <alignment horizontal="center" vertical="center"/>
    </xf>
    <xf numFmtId="1" fontId="124" fillId="2" borderId="82" xfId="0" applyNumberFormat="1" applyFont="1" applyFill="1" applyBorder="1" applyAlignment="1">
      <alignment horizontal="left" vertical="center"/>
    </xf>
    <xf numFmtId="1" fontId="125" fillId="2" borderId="82" xfId="0" applyNumberFormat="1" applyFont="1" applyFill="1" applyBorder="1" applyAlignment="1">
      <alignment horizontal="left" vertical="center"/>
    </xf>
    <xf numFmtId="1" fontId="131" fillId="6" borderId="0" xfId="1" applyNumberFormat="1" applyFont="1" applyFill="1" applyBorder="1" applyAlignment="1">
      <alignment horizontal="center" vertical="center"/>
    </xf>
    <xf numFmtId="1" fontId="131" fillId="2" borderId="0" xfId="1" applyNumberFormat="1" applyFont="1" applyFill="1" applyBorder="1" applyAlignment="1">
      <alignment horizontal="center" vertical="center"/>
    </xf>
    <xf numFmtId="9" fontId="131" fillId="2" borderId="0" xfId="1" applyFont="1" applyFill="1" applyBorder="1" applyAlignment="1">
      <alignment horizontal="center" vertical="center"/>
    </xf>
    <xf numFmtId="0" fontId="128" fillId="35" borderId="0" xfId="0" applyFont="1" applyFill="1" applyAlignment="1">
      <alignment horizontal="center" vertical="center" wrapText="1"/>
    </xf>
    <xf numFmtId="0" fontId="129" fillId="35" borderId="13" xfId="0" applyFont="1" applyFill="1" applyBorder="1" applyAlignment="1">
      <alignment horizontal="center" vertical="center"/>
    </xf>
    <xf numFmtId="0" fontId="129" fillId="35" borderId="25" xfId="0" applyFont="1" applyFill="1" applyBorder="1" applyAlignment="1">
      <alignment horizontal="center" vertical="center"/>
    </xf>
    <xf numFmtId="165" fontId="131" fillId="6" borderId="0" xfId="1" applyNumberFormat="1" applyFont="1" applyFill="1" applyBorder="1" applyAlignment="1">
      <alignment horizontal="center" vertical="center"/>
    </xf>
    <xf numFmtId="1" fontId="131" fillId="2" borderId="83" xfId="0" applyNumberFormat="1" applyFont="1" applyFill="1" applyBorder="1" applyAlignment="1">
      <alignment horizontal="left" vertical="center"/>
    </xf>
    <xf numFmtId="1" fontId="131" fillId="2" borderId="84" xfId="0" applyNumberFormat="1" applyFont="1" applyFill="1" applyBorder="1" applyAlignment="1">
      <alignment horizontal="left" vertical="center"/>
    </xf>
    <xf numFmtId="2" fontId="131" fillId="2" borderId="0" xfId="1" applyNumberFormat="1" applyFont="1" applyFill="1" applyBorder="1" applyAlignment="1">
      <alignment horizontal="center" vertical="center"/>
    </xf>
    <xf numFmtId="165" fontId="131" fillId="2" borderId="0" xfId="1" applyNumberFormat="1" applyFont="1" applyFill="1" applyBorder="1" applyAlignment="1">
      <alignment horizontal="center" vertical="center"/>
    </xf>
    <xf numFmtId="9" fontId="131" fillId="2" borderId="83" xfId="1" applyFont="1" applyFill="1" applyBorder="1" applyAlignment="1">
      <alignment horizontal="center" vertical="center"/>
    </xf>
    <xf numFmtId="164" fontId="131" fillId="2" borderId="84" xfId="1" applyNumberFormat="1" applyFont="1" applyFill="1" applyBorder="1" applyAlignment="1">
      <alignment horizontal="center" vertical="center"/>
    </xf>
    <xf numFmtId="164" fontId="131" fillId="2" borderId="83" xfId="1" applyNumberFormat="1" applyFont="1" applyFill="1" applyBorder="1" applyAlignment="1">
      <alignment horizontal="center" vertical="center"/>
    </xf>
    <xf numFmtId="9" fontId="131" fillId="2" borderId="84" xfId="1" applyFont="1" applyFill="1" applyBorder="1" applyAlignment="1">
      <alignment horizontal="center" vertical="center"/>
    </xf>
    <xf numFmtId="1" fontId="131" fillId="2" borderId="86" xfId="0" applyNumberFormat="1" applyFont="1" applyFill="1" applyBorder="1" applyAlignment="1">
      <alignment horizontal="left" vertical="center"/>
    </xf>
    <xf numFmtId="1" fontId="131" fillId="6" borderId="85" xfId="1" applyNumberFormat="1" applyFont="1" applyFill="1" applyBorder="1" applyAlignment="1">
      <alignment horizontal="center" vertical="center"/>
    </xf>
    <xf numFmtId="164" fontId="131" fillId="2" borderId="86" xfId="1" applyNumberFormat="1" applyFont="1" applyFill="1" applyBorder="1" applyAlignment="1">
      <alignment horizontal="center" vertical="center"/>
    </xf>
    <xf numFmtId="165" fontId="131" fillId="2" borderId="85" xfId="1" applyNumberFormat="1" applyFont="1" applyFill="1" applyBorder="1" applyAlignment="1">
      <alignment horizontal="center" vertical="center"/>
    </xf>
    <xf numFmtId="9" fontId="131" fillId="2" borderId="85" xfId="1" applyFont="1" applyFill="1" applyBorder="1" applyAlignment="1">
      <alignment horizontal="center" vertical="center"/>
    </xf>
    <xf numFmtId="0" fontId="41" fillId="2" borderId="86" xfId="0" applyFont="1" applyFill="1" applyBorder="1" applyAlignment="1">
      <alignment horizontal="left" vertical="center"/>
    </xf>
    <xf numFmtId="1" fontId="41" fillId="2" borderId="85" xfId="1" applyNumberFormat="1" applyFont="1" applyFill="1" applyBorder="1" applyAlignment="1">
      <alignment horizontal="center" vertical="center"/>
    </xf>
    <xf numFmtId="9" fontId="41" fillId="2" borderId="86" xfId="1" applyFont="1" applyFill="1" applyBorder="1" applyAlignment="1">
      <alignment horizontal="center" vertical="center"/>
    </xf>
    <xf numFmtId="164" fontId="41" fillId="2" borderId="86" xfId="1" applyNumberFormat="1" applyFont="1" applyFill="1" applyBorder="1" applyAlignment="1">
      <alignment horizontal="center" vertical="center"/>
    </xf>
    <xf numFmtId="9" fontId="41" fillId="2" borderId="85" xfId="1" applyFont="1" applyFill="1" applyBorder="1" applyAlignment="1">
      <alignment horizontal="center" vertical="center"/>
    </xf>
    <xf numFmtId="165" fontId="131" fillId="6" borderId="85" xfId="1" applyNumberFormat="1" applyFont="1" applyFill="1" applyBorder="1" applyAlignment="1">
      <alignment horizontal="center" vertical="center"/>
    </xf>
    <xf numFmtId="0" fontId="75" fillId="36" borderId="0" xfId="0" applyFont="1" applyFill="1" applyAlignment="1">
      <alignment horizontal="center" vertical="center" wrapText="1"/>
    </xf>
    <xf numFmtId="0" fontId="4" fillId="36" borderId="13" xfId="0" applyFont="1" applyFill="1" applyBorder="1" applyAlignment="1">
      <alignment horizontal="center" vertical="center"/>
    </xf>
    <xf numFmtId="0" fontId="4" fillId="36" borderId="25" xfId="0" applyFont="1" applyFill="1" applyBorder="1" applyAlignment="1">
      <alignment horizontal="center" vertical="center"/>
    </xf>
    <xf numFmtId="0" fontId="42" fillId="2" borderId="4" xfId="0" applyFont="1" applyFill="1" applyBorder="1" applyAlignment="1">
      <alignment horizontal="left" vertical="center"/>
    </xf>
    <xf numFmtId="9" fontId="42" fillId="2" borderId="4" xfId="1" applyFont="1" applyFill="1" applyBorder="1" applyAlignment="1">
      <alignment horizontal="center" vertical="center"/>
    </xf>
    <xf numFmtId="9" fontId="42" fillId="2" borderId="3" xfId="1" applyFont="1" applyFill="1" applyBorder="1" applyAlignment="1">
      <alignment horizontal="center" vertical="center"/>
    </xf>
    <xf numFmtId="1" fontId="5" fillId="2" borderId="4" xfId="0" applyNumberFormat="1" applyFont="1" applyFill="1" applyBorder="1" applyAlignment="1">
      <alignment horizontal="left" vertical="center"/>
    </xf>
    <xf numFmtId="9" fontId="5" fillId="2" borderId="4" xfId="1" applyFont="1" applyFill="1" applyBorder="1" applyAlignment="1">
      <alignment horizontal="center" vertical="center"/>
    </xf>
    <xf numFmtId="1" fontId="5" fillId="2" borderId="2" xfId="0" applyNumberFormat="1" applyFont="1" applyFill="1" applyBorder="1" applyAlignment="1">
      <alignment horizontal="left" vertical="center"/>
    </xf>
    <xf numFmtId="9" fontId="5" fillId="2" borderId="2" xfId="1" applyFont="1" applyFill="1" applyBorder="1" applyAlignment="1">
      <alignment horizontal="center" vertical="center"/>
    </xf>
    <xf numFmtId="9" fontId="5" fillId="2" borderId="0" xfId="1" applyFont="1" applyFill="1" applyBorder="1" applyAlignment="1">
      <alignment horizontal="center" vertical="center"/>
    </xf>
    <xf numFmtId="1" fontId="5" fillId="2" borderId="0" xfId="1" applyNumberFormat="1" applyFont="1" applyFill="1" applyBorder="1" applyAlignment="1">
      <alignment horizontal="center" vertical="center"/>
    </xf>
    <xf numFmtId="1" fontId="5" fillId="2" borderId="0" xfId="1" applyNumberFormat="1" applyFont="1" applyFill="1" applyBorder="1" applyAlignment="1">
      <alignment vertical="center"/>
    </xf>
    <xf numFmtId="1" fontId="5" fillId="2" borderId="6" xfId="1" applyNumberFormat="1" applyFont="1" applyFill="1" applyBorder="1" applyAlignment="1">
      <alignment horizontal="center" vertical="center"/>
    </xf>
    <xf numFmtId="1" fontId="42" fillId="2" borderId="7" xfId="1" applyNumberFormat="1" applyFont="1" applyFill="1" applyBorder="1" applyAlignment="1">
      <alignment horizontal="center" vertical="center"/>
    </xf>
    <xf numFmtId="1" fontId="118" fillId="2" borderId="68" xfId="0" applyNumberFormat="1" applyFont="1" applyFill="1" applyBorder="1" applyAlignment="1">
      <alignment horizontal="left" vertical="center"/>
    </xf>
    <xf numFmtId="9" fontId="131" fillId="2" borderId="15" xfId="1" applyFont="1" applyFill="1" applyBorder="1" applyAlignment="1">
      <alignment horizontal="center" vertical="center"/>
    </xf>
    <xf numFmtId="164" fontId="131" fillId="2" borderId="0" xfId="1" applyNumberFormat="1" applyFont="1" applyFill="1" applyBorder="1" applyAlignment="1">
      <alignment horizontal="center" vertical="center"/>
    </xf>
    <xf numFmtId="1" fontId="5" fillId="2" borderId="87" xfId="0" applyNumberFormat="1" applyFont="1" applyFill="1" applyBorder="1" applyAlignment="1">
      <alignment horizontal="left" vertical="center"/>
    </xf>
    <xf numFmtId="9" fontId="5" fillId="2" borderId="87" xfId="1" applyFont="1" applyFill="1" applyBorder="1" applyAlignment="1">
      <alignment horizontal="center" vertical="center"/>
    </xf>
    <xf numFmtId="1" fontId="5" fillId="2" borderId="89" xfId="0" applyNumberFormat="1" applyFont="1" applyFill="1" applyBorder="1" applyAlignment="1">
      <alignment horizontal="left" vertical="center"/>
    </xf>
    <xf numFmtId="9" fontId="5" fillId="2" borderId="89" xfId="1" applyFont="1" applyFill="1" applyBorder="1" applyAlignment="1">
      <alignment horizontal="center" vertical="center"/>
    </xf>
    <xf numFmtId="9" fontId="5" fillId="2" borderId="88" xfId="1" applyFont="1" applyFill="1" applyBorder="1" applyAlignment="1">
      <alignment horizontal="center" vertical="center"/>
    </xf>
    <xf numFmtId="0" fontId="42" fillId="2" borderId="89" xfId="0" applyFont="1" applyFill="1" applyBorder="1" applyAlignment="1">
      <alignment horizontal="left" vertical="center"/>
    </xf>
    <xf numFmtId="9" fontId="42" fillId="2" borderId="89" xfId="1" applyFont="1" applyFill="1" applyBorder="1" applyAlignment="1">
      <alignment horizontal="center" vertical="center"/>
    </xf>
    <xf numFmtId="9" fontId="42" fillId="2" borderId="88" xfId="1" applyFont="1" applyFill="1" applyBorder="1" applyAlignment="1">
      <alignment horizontal="center" vertical="center"/>
    </xf>
    <xf numFmtId="1" fontId="71" fillId="2" borderId="0" xfId="1" applyNumberFormat="1" applyFont="1" applyFill="1" applyBorder="1" applyAlignment="1">
      <alignment vertical="center"/>
    </xf>
    <xf numFmtId="1" fontId="42" fillId="2" borderId="0" xfId="1" applyNumberFormat="1" applyFont="1" applyFill="1" applyBorder="1" applyAlignment="1">
      <alignment vertical="center"/>
    </xf>
    <xf numFmtId="1" fontId="5" fillId="2" borderId="15" xfId="1" applyNumberFormat="1" applyFont="1" applyFill="1" applyBorder="1" applyAlignment="1">
      <alignment horizontal="center" vertical="center"/>
    </xf>
    <xf numFmtId="1" fontId="5" fillId="2" borderId="88" xfId="1" applyNumberFormat="1" applyFont="1" applyFill="1" applyBorder="1" applyAlignment="1">
      <alignment horizontal="center" vertical="center"/>
    </xf>
    <xf numFmtId="1" fontId="42" fillId="2" borderId="88" xfId="1" applyNumberFormat="1" applyFont="1" applyFill="1" applyBorder="1" applyAlignment="1">
      <alignment horizontal="center" vertical="center"/>
    </xf>
    <xf numFmtId="1" fontId="27" fillId="2" borderId="0" xfId="0" applyNumberFormat="1" applyFont="1" applyFill="1" applyAlignment="1">
      <alignment vertical="center"/>
    </xf>
    <xf numFmtId="1" fontId="27" fillId="2" borderId="0" xfId="0" applyNumberFormat="1" applyFont="1" applyFill="1" applyAlignment="1">
      <alignment horizontal="center" vertical="center"/>
    </xf>
    <xf numFmtId="0" fontId="75" fillId="2" borderId="0" xfId="0" applyFont="1" applyFill="1" applyAlignment="1">
      <alignment horizontal="left" vertical="center"/>
    </xf>
    <xf numFmtId="0" fontId="58" fillId="2" borderId="0" xfId="0" applyFont="1" applyFill="1"/>
    <xf numFmtId="9" fontId="11" fillId="15" borderId="0" xfId="1" applyFont="1" applyFill="1" applyAlignment="1">
      <alignment horizontal="center" vertical="center"/>
    </xf>
    <xf numFmtId="165" fontId="98" fillId="2" borderId="56" xfId="0" applyNumberFormat="1" applyFont="1" applyFill="1" applyBorder="1" applyAlignment="1">
      <alignment horizontal="center" vertical="center"/>
    </xf>
    <xf numFmtId="164" fontId="67" fillId="2" borderId="59" xfId="0" applyNumberFormat="1" applyFont="1" applyFill="1" applyBorder="1" applyAlignment="1">
      <alignment horizontal="center" vertical="center"/>
    </xf>
    <xf numFmtId="0" fontId="111" fillId="2" borderId="0" xfId="0" applyFont="1" applyFill="1" applyAlignment="1">
      <alignment vertical="center" wrapText="1"/>
    </xf>
    <xf numFmtId="0" fontId="105" fillId="2" borderId="0" xfId="0" applyFont="1" applyFill="1" applyAlignment="1">
      <alignment vertical="center"/>
    </xf>
    <xf numFmtId="0" fontId="97" fillId="2" borderId="0" xfId="0" applyFont="1" applyFill="1" applyAlignment="1">
      <alignment vertical="center"/>
    </xf>
    <xf numFmtId="0" fontId="133" fillId="2" borderId="0" xfId="0" applyFont="1" applyFill="1" applyAlignment="1">
      <alignment vertical="center" wrapText="1"/>
    </xf>
    <xf numFmtId="0" fontId="34" fillId="2" borderId="0" xfId="0" applyFont="1" applyFill="1" applyAlignment="1">
      <alignment vertical="center" wrapText="1"/>
    </xf>
    <xf numFmtId="0" fontId="39" fillId="2" borderId="0" xfId="0" applyFont="1" applyFill="1" applyAlignment="1">
      <alignment vertical="center" wrapText="1"/>
    </xf>
    <xf numFmtId="0" fontId="41" fillId="2" borderId="0" xfId="0" applyFont="1" applyFill="1" applyAlignment="1">
      <alignment vertical="center" wrapText="1"/>
    </xf>
    <xf numFmtId="0" fontId="42" fillId="2" borderId="0" xfId="0" applyFont="1" applyFill="1" applyAlignment="1">
      <alignment vertical="center" wrapText="1"/>
    </xf>
    <xf numFmtId="0" fontId="112" fillId="2" borderId="0" xfId="0" applyFont="1" applyFill="1" applyAlignment="1">
      <alignment vertical="center" wrapText="1"/>
    </xf>
    <xf numFmtId="0" fontId="105" fillId="2" borderId="0" xfId="0" applyFont="1" applyFill="1" applyAlignment="1">
      <alignment vertical="center" wrapText="1"/>
    </xf>
    <xf numFmtId="0" fontId="97" fillId="2" borderId="0" xfId="0" applyFont="1" applyFill="1" applyAlignment="1">
      <alignment vertical="center" wrapText="1"/>
    </xf>
    <xf numFmtId="167" fontId="98" fillId="2" borderId="0" xfId="0" applyNumberFormat="1" applyFont="1" applyFill="1" applyAlignment="1">
      <alignment horizontal="center" vertical="center"/>
    </xf>
    <xf numFmtId="9" fontId="107" fillId="2" borderId="53" xfId="1" applyFont="1" applyFill="1" applyBorder="1" applyAlignment="1">
      <alignment horizontal="center" vertical="center"/>
    </xf>
    <xf numFmtId="0" fontId="102" fillId="2" borderId="0" xfId="0" applyFont="1" applyFill="1" applyAlignment="1">
      <alignment horizontal="left" vertical="center"/>
    </xf>
    <xf numFmtId="0" fontId="83" fillId="2" borderId="0" xfId="0" applyFont="1" applyFill="1" applyAlignment="1">
      <alignment horizontal="left"/>
    </xf>
    <xf numFmtId="0" fontId="84" fillId="2" borderId="0" xfId="0" applyFont="1" applyFill="1"/>
    <xf numFmtId="0" fontId="4" fillId="2" borderId="0" xfId="0" applyFont="1" applyFill="1" applyAlignment="1">
      <alignment vertical="top"/>
    </xf>
    <xf numFmtId="1" fontId="102" fillId="2" borderId="0" xfId="0" applyNumberFormat="1" applyFont="1" applyFill="1" applyAlignment="1">
      <alignment horizontal="right" vertical="center"/>
    </xf>
    <xf numFmtId="0" fontId="102" fillId="2" borderId="0" xfId="0" applyFont="1" applyFill="1" applyAlignment="1">
      <alignment horizontal="left"/>
    </xf>
    <xf numFmtId="0" fontId="40" fillId="25" borderId="0" xfId="0" applyFont="1" applyFill="1" applyAlignment="1">
      <alignment vertical="center"/>
    </xf>
    <xf numFmtId="0" fontId="21" fillId="21" borderId="0" xfId="0" applyFont="1" applyFill="1"/>
    <xf numFmtId="0" fontId="21" fillId="21" borderId="0" xfId="0" applyFont="1" applyFill="1" applyAlignment="1">
      <alignment vertical="top"/>
    </xf>
    <xf numFmtId="0" fontId="68" fillId="2" borderId="0" xfId="0" applyFont="1" applyFill="1" applyAlignment="1">
      <alignment horizontal="left" vertical="center"/>
    </xf>
    <xf numFmtId="0" fontId="102" fillId="22" borderId="0" xfId="0" applyFont="1" applyFill="1" applyAlignment="1">
      <alignment vertical="center"/>
    </xf>
    <xf numFmtId="0" fontId="68" fillId="23" borderId="0" xfId="0" applyFont="1" applyFill="1" applyAlignment="1">
      <alignment vertical="center"/>
    </xf>
    <xf numFmtId="0" fontId="99" fillId="31" borderId="0" xfId="0" applyFont="1" applyFill="1" applyAlignment="1">
      <alignment vertical="center"/>
    </xf>
    <xf numFmtId="0" fontId="40" fillId="2" borderId="0" xfId="0" applyFont="1" applyFill="1" applyAlignment="1">
      <alignment horizontal="left" vertical="center"/>
    </xf>
    <xf numFmtId="0" fontId="83" fillId="2" borderId="0" xfId="0" applyFont="1" applyFill="1" applyAlignment="1">
      <alignment horizontal="left" vertical="center"/>
    </xf>
    <xf numFmtId="0" fontId="40" fillId="2" borderId="0" xfId="0" applyFont="1" applyFill="1" applyAlignment="1">
      <alignment horizontal="left"/>
    </xf>
    <xf numFmtId="0" fontId="134" fillId="2" borderId="0" xfId="0" applyFont="1" applyFill="1" applyAlignment="1">
      <alignment horizontal="left" vertical="center"/>
    </xf>
    <xf numFmtId="0" fontId="99" fillId="25" borderId="0" xfId="0" applyFont="1" applyFill="1" applyAlignment="1">
      <alignment horizontal="left" vertical="center"/>
    </xf>
    <xf numFmtId="0" fontId="33" fillId="2" borderId="0" xfId="0" applyFont="1" applyFill="1" applyAlignment="1">
      <alignment horizontal="left"/>
    </xf>
    <xf numFmtId="0" fontId="33" fillId="30" borderId="0" xfId="0" applyFont="1" applyFill="1" applyAlignment="1">
      <alignment horizontal="left" vertical="center" wrapText="1"/>
    </xf>
    <xf numFmtId="0" fontId="33" fillId="9" borderId="0" xfId="0" applyFont="1" applyFill="1" applyAlignment="1">
      <alignment horizontal="left" vertical="center"/>
    </xf>
    <xf numFmtId="0" fontId="9" fillId="10" borderId="0" xfId="0" applyFont="1" applyFill="1" applyAlignment="1">
      <alignment horizontal="left" vertical="center"/>
    </xf>
    <xf numFmtId="0" fontId="33" fillId="11" borderId="0" xfId="0" applyFont="1" applyFill="1" applyAlignment="1">
      <alignment horizontal="left" vertical="center"/>
    </xf>
    <xf numFmtId="0" fontId="33" fillId="12" borderId="0" xfId="0" applyFont="1" applyFill="1" applyAlignment="1">
      <alignment horizontal="left" vertical="center"/>
    </xf>
    <xf numFmtId="0" fontId="33" fillId="13" borderId="0" xfId="0" applyFont="1" applyFill="1" applyAlignment="1">
      <alignment horizontal="left" vertical="center"/>
    </xf>
    <xf numFmtId="0" fontId="33" fillId="8" borderId="0" xfId="0" applyFont="1" applyFill="1" applyAlignment="1">
      <alignment horizontal="left" vertical="center"/>
    </xf>
    <xf numFmtId="0" fontId="33" fillId="8" borderId="0" xfId="0" applyFont="1" applyFill="1" applyAlignment="1">
      <alignment horizontal="left" vertical="center" wrapText="1"/>
    </xf>
    <xf numFmtId="167" fontId="127" fillId="2" borderId="0" xfId="1" applyNumberFormat="1" applyFont="1" applyFill="1" applyBorder="1" applyAlignment="1">
      <alignment horizontal="center" vertical="center"/>
    </xf>
    <xf numFmtId="165" fontId="41" fillId="2" borderId="85" xfId="1" applyNumberFormat="1" applyFont="1" applyFill="1" applyBorder="1" applyAlignment="1">
      <alignment horizontal="center" vertical="center"/>
    </xf>
    <xf numFmtId="164" fontId="42" fillId="2" borderId="89" xfId="1" applyNumberFormat="1" applyFont="1" applyFill="1" applyBorder="1" applyAlignment="1">
      <alignment horizontal="center" vertical="center"/>
    </xf>
    <xf numFmtId="0" fontId="138" fillId="30" borderId="0" xfId="0" applyFont="1" applyFill="1"/>
    <xf numFmtId="0" fontId="138" fillId="9" borderId="0" xfId="0" applyFont="1" applyFill="1" applyAlignment="1">
      <alignment vertical="center"/>
    </xf>
    <xf numFmtId="0" fontId="117" fillId="10" borderId="0" xfId="0" applyFont="1" applyFill="1" applyAlignment="1">
      <alignment vertical="center"/>
    </xf>
    <xf numFmtId="0" fontId="138" fillId="12" borderId="0" xfId="0" applyFont="1" applyFill="1" applyAlignment="1">
      <alignment vertical="center"/>
    </xf>
    <xf numFmtId="0" fontId="138" fillId="13" borderId="0" xfId="0" applyFont="1" applyFill="1" applyAlignment="1">
      <alignment vertical="center"/>
    </xf>
    <xf numFmtId="0" fontId="138" fillId="8" borderId="0" xfId="0" applyFont="1" applyFill="1"/>
    <xf numFmtId="0" fontId="138" fillId="11" borderId="0" xfId="0" applyFont="1" applyFill="1" applyAlignment="1">
      <alignment vertical="center"/>
    </xf>
    <xf numFmtId="0" fontId="138" fillId="24" borderId="0" xfId="0" applyFont="1" applyFill="1"/>
    <xf numFmtId="0" fontId="138" fillId="24" borderId="0" xfId="0" applyFont="1" applyFill="1" applyAlignment="1">
      <alignment vertical="center"/>
    </xf>
    <xf numFmtId="0" fontId="138" fillId="21" borderId="0" xfId="0" applyFont="1" applyFill="1"/>
    <xf numFmtId="0" fontId="26" fillId="21" borderId="0" xfId="0" applyFont="1" applyFill="1" applyAlignment="1">
      <alignment vertical="top"/>
    </xf>
    <xf numFmtId="0" fontId="138" fillId="23" borderId="0" xfId="0" applyFont="1" applyFill="1" applyAlignment="1">
      <alignment vertical="center"/>
    </xf>
    <xf numFmtId="0" fontId="136" fillId="2" borderId="0" xfId="0" applyFont="1" applyFill="1" applyAlignment="1">
      <alignment vertical="center"/>
    </xf>
    <xf numFmtId="0" fontId="148" fillId="2" borderId="0" xfId="0" applyFont="1" applyFill="1"/>
    <xf numFmtId="0" fontId="150" fillId="2" borderId="0" xfId="0" applyFont="1" applyFill="1"/>
    <xf numFmtId="0" fontId="84" fillId="27" borderId="0" xfId="0" applyFont="1" applyFill="1" applyAlignment="1">
      <alignment vertical="center"/>
    </xf>
    <xf numFmtId="9" fontId="84" fillId="26" borderId="15" xfId="1" applyFont="1" applyFill="1" applyBorder="1" applyAlignment="1">
      <alignment horizontal="center" vertical="center"/>
    </xf>
    <xf numFmtId="164" fontId="84" fillId="15" borderId="22" xfId="1" applyNumberFormat="1" applyFont="1" applyFill="1" applyBorder="1" applyAlignment="1">
      <alignment horizontal="center" vertical="center"/>
    </xf>
    <xf numFmtId="164" fontId="93" fillId="2" borderId="15" xfId="1" applyNumberFormat="1" applyFont="1" applyFill="1" applyBorder="1" applyAlignment="1">
      <alignment horizontal="center" vertical="center"/>
    </xf>
    <xf numFmtId="9" fontId="98" fillId="2" borderId="15" xfId="1" applyFont="1" applyFill="1" applyBorder="1" applyAlignment="1">
      <alignment horizontal="center" vertical="center"/>
    </xf>
    <xf numFmtId="9" fontId="67" fillId="2" borderId="58" xfId="0" applyNumberFormat="1" applyFont="1" applyFill="1" applyBorder="1" applyAlignment="1">
      <alignment horizontal="center" vertical="center"/>
    </xf>
    <xf numFmtId="9" fontId="116" fillId="2" borderId="15" xfId="1" applyFont="1" applyFill="1" applyBorder="1" applyAlignment="1">
      <alignment horizontal="center" vertical="center"/>
    </xf>
    <xf numFmtId="9" fontId="120" fillId="2" borderId="15" xfId="1" applyFont="1" applyFill="1" applyBorder="1" applyAlignment="1">
      <alignment horizontal="center" vertical="center"/>
    </xf>
    <xf numFmtId="9" fontId="5" fillId="2" borderId="3" xfId="1" applyFont="1" applyFill="1" applyBorder="1" applyAlignment="1">
      <alignment horizontal="center" vertical="center"/>
    </xf>
    <xf numFmtId="1" fontId="149" fillId="30" borderId="0" xfId="0" applyNumberFormat="1" applyFont="1" applyFill="1" applyAlignment="1">
      <alignment horizontal="center" vertical="center"/>
    </xf>
    <xf numFmtId="1" fontId="97" fillId="30" borderId="0" xfId="0" applyNumberFormat="1" applyFont="1" applyFill="1"/>
    <xf numFmtId="0" fontId="154" fillId="2" borderId="0" xfId="0" applyFont="1" applyFill="1" applyAlignment="1">
      <alignment horizontal="center" vertical="center"/>
    </xf>
    <xf numFmtId="1" fontId="155" fillId="15" borderId="0" xfId="0" applyNumberFormat="1" applyFont="1" applyFill="1" applyAlignment="1">
      <alignment horizontal="center" vertical="center"/>
    </xf>
    <xf numFmtId="1" fontId="155" fillId="2" borderId="0" xfId="0" applyNumberFormat="1" applyFont="1" applyFill="1" applyAlignment="1">
      <alignment horizontal="center" vertical="center"/>
    </xf>
    <xf numFmtId="1" fontId="48" fillId="0" borderId="0" xfId="0" applyNumberFormat="1" applyFont="1" applyAlignment="1">
      <alignment vertical="center"/>
    </xf>
    <xf numFmtId="1" fontId="97" fillId="2" borderId="0" xfId="0" applyNumberFormat="1" applyFont="1" applyFill="1" applyAlignment="1">
      <alignment vertical="center"/>
    </xf>
    <xf numFmtId="164" fontId="51" fillId="2" borderId="0" xfId="1" applyNumberFormat="1" applyFont="1" applyFill="1" applyAlignment="1">
      <alignment horizontal="center" vertical="center"/>
    </xf>
    <xf numFmtId="0" fontId="48" fillId="2" borderId="0" xfId="0" applyFont="1" applyFill="1" applyAlignment="1">
      <alignment vertical="center"/>
    </xf>
    <xf numFmtId="0" fontId="156" fillId="2" borderId="0" xfId="0" applyFont="1" applyFill="1" applyAlignment="1">
      <alignment vertical="center"/>
    </xf>
    <xf numFmtId="9" fontId="97" fillId="15" borderId="0" xfId="1" applyFont="1" applyFill="1" applyAlignment="1">
      <alignment horizontal="center" vertical="center"/>
    </xf>
    <xf numFmtId="1" fontId="48" fillId="0" borderId="0" xfId="0" applyNumberFormat="1" applyFont="1" applyAlignment="1">
      <alignment vertical="center" wrapText="1"/>
    </xf>
    <xf numFmtId="0" fontId="97" fillId="2" borderId="1" xfId="0" applyFont="1" applyFill="1" applyBorder="1" applyAlignment="1">
      <alignment horizontal="left" vertical="center"/>
    </xf>
    <xf numFmtId="0" fontId="158" fillId="2" borderId="0" xfId="0" applyFont="1" applyFill="1" applyAlignment="1">
      <alignment vertical="center"/>
    </xf>
    <xf numFmtId="0" fontId="102" fillId="2" borderId="0" xfId="0" applyFont="1" applyFill="1"/>
    <xf numFmtId="0" fontId="159" fillId="2" borderId="0" xfId="0" applyFont="1" applyFill="1"/>
    <xf numFmtId="0" fontId="160" fillId="2" borderId="0" xfId="0" applyFont="1" applyFill="1"/>
    <xf numFmtId="1" fontId="50" fillId="0" borderId="0" xfId="0" applyNumberFormat="1" applyFont="1" applyAlignment="1">
      <alignment horizontal="right" vertical="center"/>
    </xf>
    <xf numFmtId="1" fontId="50" fillId="0" borderId="0" xfId="0" applyNumberFormat="1" applyFont="1" applyAlignment="1">
      <alignment vertical="center"/>
    </xf>
    <xf numFmtId="1" fontId="70" fillId="2" borderId="0" xfId="0" applyNumberFormat="1" applyFont="1" applyFill="1" applyAlignment="1">
      <alignment horizontal="center" vertical="center"/>
    </xf>
    <xf numFmtId="1" fontId="49" fillId="0" borderId="0" xfId="0" applyNumberFormat="1" applyFont="1" applyAlignment="1">
      <alignment vertical="center"/>
    </xf>
    <xf numFmtId="165" fontId="50" fillId="0" borderId="0" xfId="0" applyNumberFormat="1" applyFont="1" applyAlignment="1">
      <alignment vertical="center"/>
    </xf>
    <xf numFmtId="1" fontId="84" fillId="2" borderId="0" xfId="0" applyNumberFormat="1" applyFont="1" applyFill="1" applyAlignment="1">
      <alignment horizontal="center" vertical="center"/>
    </xf>
    <xf numFmtId="1" fontId="84" fillId="2" borderId="0" xfId="1" applyNumberFormat="1" applyFont="1" applyFill="1" applyBorder="1" applyAlignment="1">
      <alignment horizontal="center" vertical="center"/>
    </xf>
    <xf numFmtId="1" fontId="84" fillId="2" borderId="0" xfId="1" applyNumberFormat="1" applyFont="1" applyFill="1" applyBorder="1" applyAlignment="1">
      <alignment horizontal="center" vertical="top"/>
    </xf>
    <xf numFmtId="164" fontId="83" fillId="2" borderId="3" xfId="1" applyNumberFormat="1" applyFont="1" applyFill="1" applyBorder="1" applyAlignment="1">
      <alignment horizontal="center" vertical="center"/>
    </xf>
    <xf numFmtId="0" fontId="87" fillId="2" borderId="0" xfId="0" applyFont="1" applyFill="1" applyAlignment="1">
      <alignment horizontal="center" vertical="center"/>
    </xf>
    <xf numFmtId="0" fontId="84" fillId="2" borderId="0" xfId="0" applyFont="1" applyFill="1" applyAlignment="1">
      <alignment vertical="center"/>
    </xf>
    <xf numFmtId="9" fontId="84" fillId="2" borderId="0" xfId="1" applyFont="1" applyFill="1" applyBorder="1" applyAlignment="1">
      <alignment horizontal="center" vertical="center"/>
    </xf>
    <xf numFmtId="9" fontId="84" fillId="2" borderId="0" xfId="1" applyFont="1" applyFill="1" applyBorder="1" applyAlignment="1">
      <alignment horizontal="center" vertical="top"/>
    </xf>
    <xf numFmtId="164" fontId="84" fillId="2" borderId="0" xfId="1" applyNumberFormat="1" applyFont="1" applyFill="1" applyBorder="1" applyAlignment="1">
      <alignment horizontal="center" vertical="center"/>
    </xf>
    <xf numFmtId="165" fontId="84" fillId="2" borderId="0" xfId="0" applyNumberFormat="1" applyFont="1" applyFill="1" applyAlignment="1">
      <alignment horizontal="center" vertical="center"/>
    </xf>
    <xf numFmtId="1" fontId="83" fillId="2" borderId="0" xfId="0" applyNumberFormat="1" applyFont="1" applyFill="1" applyAlignment="1">
      <alignment horizontal="center" vertical="center"/>
    </xf>
    <xf numFmtId="164" fontId="83" fillId="2" borderId="0" xfId="1" applyNumberFormat="1" applyFont="1" applyFill="1" applyBorder="1" applyAlignment="1">
      <alignment horizontal="center" vertical="center"/>
    </xf>
    <xf numFmtId="10" fontId="83" fillId="2" borderId="0" xfId="1" applyNumberFormat="1" applyFont="1" applyFill="1" applyBorder="1" applyAlignment="1">
      <alignment horizontal="center" vertical="center"/>
    </xf>
    <xf numFmtId="2" fontId="11" fillId="2" borderId="0" xfId="0" applyNumberFormat="1" applyFont="1" applyFill="1" applyAlignment="1">
      <alignment horizontal="center" vertical="center"/>
    </xf>
    <xf numFmtId="0" fontId="10" fillId="15" borderId="0" xfId="0" applyFont="1" applyFill="1" applyAlignment="1">
      <alignment horizontal="left" vertical="top"/>
    </xf>
    <xf numFmtId="0" fontId="135" fillId="25" borderId="0" xfId="0" applyFont="1" applyFill="1" applyAlignment="1">
      <alignment vertical="center"/>
    </xf>
    <xf numFmtId="0" fontId="162" fillId="22" borderId="0" xfId="0" applyFont="1" applyFill="1" applyAlignment="1">
      <alignment vertical="center"/>
    </xf>
    <xf numFmtId="0" fontId="158" fillId="22" borderId="0" xfId="0" applyFont="1" applyFill="1" applyAlignment="1">
      <alignment vertical="center"/>
    </xf>
    <xf numFmtId="0" fontId="162" fillId="22" borderId="8" xfId="0" applyFont="1" applyFill="1" applyBorder="1" applyAlignment="1">
      <alignment vertical="center"/>
    </xf>
    <xf numFmtId="0" fontId="162" fillId="22" borderId="0" xfId="0" applyFont="1" applyFill="1" applyAlignment="1">
      <alignment horizontal="center" vertical="center"/>
    </xf>
    <xf numFmtId="0" fontId="135" fillId="31" borderId="0" xfId="0" applyFont="1" applyFill="1" applyAlignment="1">
      <alignment vertical="center"/>
    </xf>
    <xf numFmtId="0" fontId="135" fillId="31" borderId="8" xfId="0" applyFont="1" applyFill="1" applyBorder="1" applyAlignment="1">
      <alignment vertical="center"/>
    </xf>
    <xf numFmtId="0" fontId="163" fillId="25" borderId="0" xfId="0" applyFont="1" applyFill="1" applyAlignment="1">
      <alignment horizontal="left" vertical="center"/>
    </xf>
    <xf numFmtId="0" fontId="135" fillId="25" borderId="0" xfId="0" applyFont="1" applyFill="1" applyAlignment="1">
      <alignment horizontal="center" vertical="center"/>
    </xf>
    <xf numFmtId="0" fontId="135" fillId="25" borderId="10" xfId="0" applyFont="1" applyFill="1" applyBorder="1" applyAlignment="1">
      <alignment horizontal="center" vertical="center"/>
    </xf>
    <xf numFmtId="0" fontId="113" fillId="16" borderId="0" xfId="0" applyFont="1" applyFill="1" applyAlignment="1">
      <alignment horizontal="left" vertical="center"/>
    </xf>
    <xf numFmtId="0" fontId="164" fillId="16" borderId="0" xfId="0" applyFont="1" applyFill="1" applyAlignment="1">
      <alignment vertical="center"/>
    </xf>
    <xf numFmtId="0" fontId="164" fillId="16" borderId="0" xfId="0" applyFont="1" applyFill="1" applyAlignment="1">
      <alignment horizontal="center" vertical="center"/>
    </xf>
    <xf numFmtId="0" fontId="164" fillId="16" borderId="10" xfId="0" applyFont="1" applyFill="1" applyBorder="1" applyAlignment="1">
      <alignment horizontal="center" vertical="center"/>
    </xf>
    <xf numFmtId="0" fontId="77" fillId="17" borderId="0" xfId="0" applyFont="1" applyFill="1" applyAlignment="1">
      <alignment horizontal="left" vertical="center"/>
    </xf>
    <xf numFmtId="0" fontId="165" fillId="17" borderId="0" xfId="0" applyFont="1" applyFill="1" applyAlignment="1">
      <alignment vertical="center"/>
    </xf>
    <xf numFmtId="0" fontId="166" fillId="17" borderId="0" xfId="0" applyFont="1" applyFill="1" applyAlignment="1">
      <alignment vertical="center"/>
    </xf>
    <xf numFmtId="0" fontId="165" fillId="17" borderId="0" xfId="0" applyFont="1" applyFill="1" applyAlignment="1">
      <alignment horizontal="center" vertical="center"/>
    </xf>
    <xf numFmtId="0" fontId="165" fillId="17" borderId="10" xfId="0" applyFont="1" applyFill="1" applyBorder="1" applyAlignment="1">
      <alignment horizontal="center" vertical="center"/>
    </xf>
    <xf numFmtId="0" fontId="77" fillId="14" borderId="0" xfId="0" applyFont="1" applyFill="1" applyAlignment="1">
      <alignment horizontal="left" vertical="center"/>
    </xf>
    <xf numFmtId="0" fontId="165" fillId="14" borderId="0" xfId="0" applyFont="1" applyFill="1" applyAlignment="1">
      <alignment vertical="center"/>
    </xf>
    <xf numFmtId="0" fontId="167" fillId="14" borderId="0" xfId="0" applyFont="1" applyFill="1" applyAlignment="1">
      <alignment vertical="center"/>
    </xf>
    <xf numFmtId="0" fontId="165" fillId="14" borderId="0" xfId="0" applyFont="1" applyFill="1" applyAlignment="1">
      <alignment horizontal="center" vertical="center"/>
    </xf>
    <xf numFmtId="0" fontId="165" fillId="14" borderId="10" xfId="0" applyFont="1" applyFill="1" applyBorder="1" applyAlignment="1">
      <alignment horizontal="center" vertical="center"/>
    </xf>
    <xf numFmtId="0" fontId="124" fillId="19" borderId="0" xfId="0" applyFont="1" applyFill="1" applyAlignment="1">
      <alignment horizontal="left" vertical="center"/>
    </xf>
    <xf numFmtId="0" fontId="168" fillId="19" borderId="0" xfId="0" applyFont="1" applyFill="1" applyAlignment="1">
      <alignment vertical="center"/>
    </xf>
    <xf numFmtId="0" fontId="168" fillId="19" borderId="0" xfId="0" applyFont="1" applyFill="1" applyAlignment="1">
      <alignment horizontal="center" vertical="center"/>
    </xf>
    <xf numFmtId="0" fontId="168" fillId="19" borderId="10" xfId="0" applyFont="1" applyFill="1" applyBorder="1" applyAlignment="1">
      <alignment horizontal="center" vertical="center"/>
    </xf>
    <xf numFmtId="0" fontId="128" fillId="3" borderId="0" xfId="0" applyFont="1" applyFill="1" applyAlignment="1">
      <alignment horizontal="left" vertical="center"/>
    </xf>
    <xf numFmtId="0" fontId="169" fillId="3" borderId="0" xfId="0" applyFont="1" applyFill="1" applyAlignment="1">
      <alignment vertical="center"/>
    </xf>
    <xf numFmtId="0" fontId="169" fillId="3" borderId="0" xfId="0" applyFont="1" applyFill="1" applyAlignment="1">
      <alignment horizontal="center" vertical="center"/>
    </xf>
    <xf numFmtId="0" fontId="169" fillId="35" borderId="0" xfId="0" applyFont="1" applyFill="1" applyAlignment="1">
      <alignment horizontal="center" vertical="center"/>
    </xf>
    <xf numFmtId="0" fontId="169" fillId="3" borderId="10" xfId="0" applyFont="1" applyFill="1" applyBorder="1" applyAlignment="1">
      <alignment horizontal="center" vertical="center"/>
    </xf>
    <xf numFmtId="0" fontId="75" fillId="15" borderId="0" xfId="0" applyFont="1" applyFill="1" applyAlignment="1">
      <alignment horizontal="left" vertical="center"/>
    </xf>
    <xf numFmtId="0" fontId="170" fillId="15" borderId="0" xfId="0" applyFont="1" applyFill="1" applyAlignment="1">
      <alignment vertical="center"/>
    </xf>
    <xf numFmtId="0" fontId="170" fillId="15" borderId="0" xfId="0" applyFont="1" applyFill="1" applyAlignment="1">
      <alignment horizontal="center" vertical="center"/>
    </xf>
    <xf numFmtId="0" fontId="170" fillId="15" borderId="10" xfId="0" applyFont="1" applyFill="1" applyBorder="1" applyAlignment="1">
      <alignment horizontal="center" vertical="center"/>
    </xf>
    <xf numFmtId="0" fontId="119" fillId="2" borderId="0" xfId="0" applyFont="1" applyFill="1" applyAlignment="1">
      <alignment vertical="center"/>
    </xf>
    <xf numFmtId="1" fontId="173" fillId="2" borderId="0" xfId="0" applyNumberFormat="1" applyFont="1" applyFill="1" applyAlignment="1">
      <alignment vertical="center"/>
    </xf>
    <xf numFmtId="0" fontId="118" fillId="2" borderId="0" xfId="0" applyFont="1" applyFill="1" applyAlignment="1">
      <alignment vertical="center"/>
    </xf>
    <xf numFmtId="1" fontId="171" fillId="2" borderId="0" xfId="0" applyNumberFormat="1" applyFont="1" applyFill="1" applyAlignment="1">
      <alignment vertical="center"/>
    </xf>
    <xf numFmtId="1" fontId="171" fillId="2" borderId="0" xfId="0" applyNumberFormat="1" applyFont="1" applyFill="1" applyAlignment="1">
      <alignment horizontal="center" vertical="center"/>
    </xf>
    <xf numFmtId="1" fontId="174" fillId="2" borderId="0" xfId="0" applyNumberFormat="1" applyFont="1" applyFill="1" applyAlignment="1">
      <alignment horizontal="center" vertical="center"/>
    </xf>
    <xf numFmtId="0" fontId="172" fillId="2" borderId="0" xfId="0" applyFont="1" applyFill="1" applyAlignment="1">
      <alignment horizontal="center" vertical="center"/>
    </xf>
    <xf numFmtId="0" fontId="175" fillId="2" borderId="0" xfId="0" applyFont="1" applyFill="1" applyAlignment="1">
      <alignment horizontal="center" vertical="center"/>
    </xf>
    <xf numFmtId="0" fontId="119" fillId="2" borderId="0" xfId="0" applyFont="1" applyFill="1" applyAlignment="1">
      <alignment vertical="center" wrapText="1"/>
    </xf>
    <xf numFmtId="0" fontId="177" fillId="33" borderId="0" xfId="0" applyFont="1" applyFill="1" applyAlignment="1">
      <alignment vertical="center"/>
    </xf>
    <xf numFmtId="0" fontId="178" fillId="33" borderId="0" xfId="0" applyFont="1" applyFill="1" applyAlignment="1">
      <alignment vertical="center"/>
    </xf>
    <xf numFmtId="0" fontId="179" fillId="33" borderId="0" xfId="0" applyFont="1" applyFill="1" applyAlignment="1">
      <alignment vertical="center"/>
    </xf>
    <xf numFmtId="0" fontId="177" fillId="33" borderId="8" xfId="0" applyFont="1" applyFill="1" applyBorder="1" applyAlignment="1">
      <alignment vertical="center"/>
    </xf>
    <xf numFmtId="0" fontId="179" fillId="33" borderId="0" xfId="0" applyFont="1" applyFill="1" applyAlignment="1">
      <alignment horizontal="center" vertical="center"/>
    </xf>
    <xf numFmtId="0" fontId="178" fillId="33" borderId="0" xfId="0" applyFont="1" applyFill="1" applyAlignment="1">
      <alignment horizontal="left" vertical="center"/>
    </xf>
    <xf numFmtId="0" fontId="105" fillId="33" borderId="8" xfId="0" applyFont="1" applyFill="1" applyBorder="1"/>
    <xf numFmtId="0" fontId="5" fillId="2" borderId="90" xfId="0" applyFont="1" applyFill="1" applyBorder="1" applyAlignment="1">
      <alignment horizontal="left" vertical="center"/>
    </xf>
    <xf numFmtId="0" fontId="176" fillId="17" borderId="0" xfId="0" applyFont="1" applyFill="1" applyAlignment="1">
      <alignment horizontal="center" vertical="center" wrapText="1"/>
    </xf>
    <xf numFmtId="0" fontId="118" fillId="2" borderId="0" xfId="0" applyFont="1" applyFill="1" applyAlignment="1">
      <alignment horizontal="center" vertical="center"/>
    </xf>
    <xf numFmtId="0" fontId="171" fillId="17" borderId="13" xfId="0" applyFont="1" applyFill="1" applyBorder="1" applyAlignment="1">
      <alignment horizontal="center" vertical="center"/>
    </xf>
    <xf numFmtId="0" fontId="171" fillId="17" borderId="25" xfId="0" applyFont="1" applyFill="1" applyBorder="1" applyAlignment="1">
      <alignment horizontal="center" vertical="center"/>
    </xf>
    <xf numFmtId="9" fontId="119" fillId="2" borderId="0" xfId="1" applyFont="1" applyFill="1" applyBorder="1" applyAlignment="1">
      <alignment horizontal="center" vertical="center"/>
    </xf>
    <xf numFmtId="0" fontId="10" fillId="20" borderId="0" xfId="0" applyFont="1" applyFill="1" applyAlignment="1">
      <alignment horizontal="left" vertical="center"/>
    </xf>
    <xf numFmtId="1" fontId="182" fillId="15" borderId="0" xfId="0" applyNumberFormat="1" applyFont="1" applyFill="1" applyAlignment="1">
      <alignment horizontal="center" vertical="center"/>
    </xf>
    <xf numFmtId="0" fontId="151" fillId="2" borderId="0" xfId="0" applyFont="1" applyFill="1" applyAlignment="1">
      <alignment horizontal="left"/>
    </xf>
    <xf numFmtId="0" fontId="0" fillId="2" borderId="0" xfId="0" applyFill="1" applyAlignment="1">
      <alignment horizontal="left" vertical="center"/>
    </xf>
    <xf numFmtId="0" fontId="0" fillId="37" borderId="0" xfId="0" applyFill="1" applyAlignment="1">
      <alignment horizontal="left" vertical="center" wrapText="1"/>
    </xf>
    <xf numFmtId="0" fontId="85" fillId="20" borderId="0" xfId="0" applyFont="1" applyFill="1" applyAlignment="1">
      <alignment horizontal="center" vertical="center"/>
    </xf>
    <xf numFmtId="0" fontId="85" fillId="15" borderId="0" xfId="0" applyFont="1" applyFill="1" applyAlignment="1">
      <alignment horizontal="center" vertical="center"/>
    </xf>
    <xf numFmtId="0" fontId="85" fillId="15" borderId="0" xfId="0" applyFont="1" applyFill="1" applyAlignment="1">
      <alignment horizontal="center" vertical="top"/>
    </xf>
    <xf numFmtId="0" fontId="161" fillId="2" borderId="0" xfId="0" applyFont="1" applyFill="1" applyAlignment="1">
      <alignment horizontal="center" vertical="center"/>
    </xf>
    <xf numFmtId="1" fontId="183" fillId="15" borderId="0" xfId="0" applyNumberFormat="1" applyFont="1" applyFill="1" applyAlignment="1">
      <alignment horizontal="center" vertical="center"/>
    </xf>
    <xf numFmtId="1" fontId="183" fillId="2" borderId="0" xfId="0" applyNumberFormat="1" applyFont="1" applyFill="1" applyAlignment="1">
      <alignment horizontal="center" vertical="center"/>
    </xf>
    <xf numFmtId="0" fontId="184" fillId="2" borderId="0" xfId="0" applyFont="1" applyFill="1" applyAlignment="1">
      <alignment vertical="center"/>
    </xf>
    <xf numFmtId="0" fontId="50" fillId="2" borderId="0" xfId="0" applyFont="1" applyFill="1" applyAlignment="1">
      <alignment vertical="center"/>
    </xf>
    <xf numFmtId="0" fontId="157" fillId="2" borderId="0" xfId="0" applyFont="1" applyFill="1" applyAlignment="1">
      <alignment vertical="center"/>
    </xf>
    <xf numFmtId="0" fontId="185" fillId="2" borderId="0" xfId="0" applyFont="1" applyFill="1" applyAlignment="1">
      <alignment vertical="center"/>
    </xf>
    <xf numFmtId="0" fontId="157" fillId="32" borderId="0" xfId="0" applyFont="1" applyFill="1" applyAlignment="1">
      <alignment horizontal="center"/>
    </xf>
    <xf numFmtId="0" fontId="184" fillId="2" borderId="1" xfId="0" applyFont="1" applyFill="1" applyBorder="1" applyAlignment="1">
      <alignment horizontal="left" vertical="center"/>
    </xf>
    <xf numFmtId="0" fontId="0" fillId="2" borderId="0" xfId="0" applyFill="1" applyAlignment="1">
      <alignment horizontal="center"/>
    </xf>
    <xf numFmtId="164" fontId="11" fillId="15" borderId="0" xfId="1" applyNumberFormat="1" applyFont="1" applyFill="1" applyAlignment="1">
      <alignment horizontal="center" vertical="center"/>
    </xf>
    <xf numFmtId="10" fontId="11" fillId="15" borderId="0" xfId="1" applyNumberFormat="1" applyFont="1" applyFill="1" applyAlignment="1">
      <alignment horizontal="center" vertical="center"/>
    </xf>
    <xf numFmtId="0" fontId="68" fillId="38" borderId="0" xfId="0" applyFont="1" applyFill="1" applyAlignment="1">
      <alignment vertical="center"/>
    </xf>
    <xf numFmtId="0" fontId="7" fillId="38" borderId="0" xfId="0" applyFont="1" applyFill="1" applyAlignment="1">
      <alignment vertical="center"/>
    </xf>
    <xf numFmtId="0" fontId="138" fillId="38" borderId="0" xfId="0" applyFont="1" applyFill="1" applyAlignment="1">
      <alignment vertical="center"/>
    </xf>
    <xf numFmtId="0" fontId="7" fillId="38" borderId="8" xfId="0" applyFont="1" applyFill="1" applyBorder="1" applyAlignment="1">
      <alignment vertical="center"/>
    </xf>
    <xf numFmtId="0" fontId="7" fillId="38" borderId="0" xfId="0" applyFont="1" applyFill="1" applyAlignment="1">
      <alignment horizontal="center" vertical="center"/>
    </xf>
    <xf numFmtId="0" fontId="68" fillId="38" borderId="20" xfId="0" applyFont="1" applyFill="1" applyBorder="1" applyAlignment="1">
      <alignment horizontal="left" vertical="center" wrapText="1"/>
    </xf>
    <xf numFmtId="0" fontId="2" fillId="31" borderId="0" xfId="0" applyFont="1" applyFill="1" applyAlignment="1">
      <alignment horizontal="left" vertical="center" wrapText="1"/>
    </xf>
    <xf numFmtId="0" fontId="2" fillId="31" borderId="9" xfId="0" applyFont="1" applyFill="1" applyBorder="1" applyAlignment="1">
      <alignment horizontal="left" vertical="top" wrapText="1"/>
    </xf>
    <xf numFmtId="0" fontId="2" fillId="31" borderId="9" xfId="0" applyFont="1" applyFill="1" applyBorder="1" applyAlignment="1">
      <alignment horizontal="left" vertical="center" wrapText="1"/>
    </xf>
    <xf numFmtId="0" fontId="2" fillId="31" borderId="9" xfId="0" applyFont="1" applyFill="1" applyBorder="1" applyAlignment="1">
      <alignment horizontal="left" vertical="center"/>
    </xf>
    <xf numFmtId="1" fontId="187" fillId="15" borderId="0" xfId="0" applyNumberFormat="1" applyFont="1" applyFill="1" applyAlignment="1">
      <alignment horizontal="center" vertical="center"/>
    </xf>
    <xf numFmtId="0" fontId="188" fillId="2" borderId="0" xfId="0" applyFont="1" applyFill="1"/>
    <xf numFmtId="1" fontId="14" fillId="41" borderId="0" xfId="1" applyNumberFormat="1" applyFont="1" applyFill="1" applyAlignment="1">
      <alignment horizontal="center" vertical="center"/>
    </xf>
    <xf numFmtId="1" fontId="14" fillId="41" borderId="0" xfId="0" applyNumberFormat="1" applyFont="1" applyFill="1" applyAlignment="1">
      <alignment horizontal="center" vertical="center"/>
    </xf>
    <xf numFmtId="1" fontId="97" fillId="41" borderId="0" xfId="0" applyNumberFormat="1" applyFont="1" applyFill="1" applyAlignment="1">
      <alignment horizontal="center" vertical="center"/>
    </xf>
    <xf numFmtId="0" fontId="27" fillId="41" borderId="0" xfId="0" applyFont="1" applyFill="1" applyAlignment="1">
      <alignment horizontal="center" vertical="center"/>
    </xf>
    <xf numFmtId="1" fontId="14" fillId="41" borderId="0" xfId="1" applyNumberFormat="1" applyFont="1" applyFill="1" applyAlignment="1">
      <alignment horizontal="center" vertical="top"/>
    </xf>
    <xf numFmtId="1" fontId="14" fillId="41" borderId="0" xfId="0" applyNumberFormat="1" applyFont="1" applyFill="1" applyAlignment="1">
      <alignment horizontal="center" vertical="top"/>
    </xf>
    <xf numFmtId="1" fontId="97" fillId="41" borderId="0" xfId="0" applyNumberFormat="1" applyFont="1" applyFill="1" applyAlignment="1">
      <alignment horizontal="center" vertical="top"/>
    </xf>
    <xf numFmtId="0" fontId="27" fillId="41" borderId="0" xfId="0" applyFont="1" applyFill="1" applyAlignment="1">
      <alignment horizontal="center" vertical="top"/>
    </xf>
    <xf numFmtId="0" fontId="13" fillId="8" borderId="0" xfId="0" applyFont="1" applyFill="1" applyAlignment="1">
      <alignment vertical="top"/>
    </xf>
    <xf numFmtId="1" fontId="14" fillId="8" borderId="0" xfId="1" applyNumberFormat="1" applyFont="1" applyFill="1" applyAlignment="1">
      <alignment horizontal="center" vertical="top"/>
    </xf>
    <xf numFmtId="1" fontId="14" fillId="8" borderId="0" xfId="0" applyNumberFormat="1" applyFont="1" applyFill="1" applyAlignment="1">
      <alignment horizontal="center" vertical="top"/>
    </xf>
    <xf numFmtId="1" fontId="97" fillId="8" borderId="0" xfId="0" applyNumberFormat="1" applyFont="1" applyFill="1" applyAlignment="1">
      <alignment horizontal="center" vertical="top"/>
    </xf>
    <xf numFmtId="0" fontId="40" fillId="8" borderId="0" xfId="0" applyFont="1" applyFill="1" applyAlignment="1">
      <alignment horizontal="center" vertical="top"/>
    </xf>
    <xf numFmtId="1" fontId="48" fillId="7" borderId="91" xfId="0" applyNumberFormat="1" applyFont="1" applyFill="1" applyBorder="1" applyAlignment="1">
      <alignment vertical="center"/>
    </xf>
    <xf numFmtId="1" fontId="48" fillId="7" borderId="92" xfId="0" applyNumberFormat="1" applyFont="1" applyFill="1" applyBorder="1" applyAlignment="1">
      <alignment vertical="center"/>
    </xf>
    <xf numFmtId="1" fontId="21" fillId="7" borderId="92" xfId="0" applyNumberFormat="1" applyFont="1" applyFill="1" applyBorder="1" applyAlignment="1">
      <alignment vertical="center"/>
    </xf>
    <xf numFmtId="0" fontId="62" fillId="2" borderId="93" xfId="0" applyFont="1" applyFill="1" applyBorder="1" applyAlignment="1">
      <alignment horizontal="center" vertical="center"/>
    </xf>
    <xf numFmtId="1" fontId="4" fillId="2" borderId="93" xfId="0" applyNumberFormat="1" applyFont="1" applyFill="1" applyBorder="1" applyAlignment="1">
      <alignment horizontal="left"/>
    </xf>
    <xf numFmtId="0" fontId="26" fillId="2" borderId="93" xfId="0" applyFont="1" applyFill="1" applyBorder="1" applyAlignment="1">
      <alignment horizontal="center" vertical="center"/>
    </xf>
    <xf numFmtId="1" fontId="4" fillId="2" borderId="93" xfId="0" applyNumberFormat="1" applyFont="1" applyFill="1" applyBorder="1" applyAlignment="1">
      <alignment horizontal="left" vertical="center"/>
    </xf>
    <xf numFmtId="0" fontId="4" fillId="2" borderId="93" xfId="0" applyFont="1" applyFill="1" applyBorder="1" applyAlignment="1">
      <alignment horizontal="left"/>
    </xf>
    <xf numFmtId="0" fontId="4" fillId="2" borderId="93" xfId="0" applyFont="1" applyFill="1" applyBorder="1" applyAlignment="1">
      <alignment horizontal="center" vertical="center"/>
    </xf>
    <xf numFmtId="0" fontId="6" fillId="2" borderId="93" xfId="0" applyFont="1" applyFill="1" applyBorder="1" applyAlignment="1">
      <alignment horizontal="left"/>
    </xf>
    <xf numFmtId="1" fontId="171" fillId="2" borderId="93" xfId="0" applyNumberFormat="1" applyFont="1" applyFill="1" applyBorder="1" applyAlignment="1">
      <alignment horizontal="left" vertical="center"/>
    </xf>
    <xf numFmtId="0" fontId="4" fillId="2" borderId="93" xfId="0" applyFont="1" applyFill="1" applyBorder="1" applyAlignment="1">
      <alignment horizontal="center" vertical="top"/>
    </xf>
    <xf numFmtId="0" fontId="37" fillId="2" borderId="93" xfId="0" applyFont="1" applyFill="1" applyBorder="1" applyAlignment="1">
      <alignment horizontal="left" vertical="center"/>
    </xf>
    <xf numFmtId="0" fontId="37" fillId="2" borderId="93" xfId="0" applyFont="1" applyFill="1" applyBorder="1" applyAlignment="1">
      <alignment horizontal="left"/>
    </xf>
    <xf numFmtId="0" fontId="5" fillId="2" borderId="93" xfId="0" applyFont="1" applyFill="1" applyBorder="1" applyAlignment="1">
      <alignment horizontal="left" vertical="center"/>
    </xf>
    <xf numFmtId="0" fontId="4" fillId="2" borderId="93" xfId="0" applyFont="1" applyFill="1" applyBorder="1" applyAlignment="1">
      <alignment horizontal="left" vertical="center"/>
    </xf>
    <xf numFmtId="0" fontId="37" fillId="2" borderId="93" xfId="0" applyFont="1" applyFill="1" applyBorder="1" applyAlignment="1">
      <alignment vertical="center"/>
    </xf>
    <xf numFmtId="0" fontId="26" fillId="2" borderId="93" xfId="0" applyFont="1" applyFill="1" applyBorder="1" applyAlignment="1">
      <alignment horizontal="left"/>
    </xf>
    <xf numFmtId="1" fontId="37" fillId="2" borderId="93" xfId="0" applyNumberFormat="1" applyFont="1" applyFill="1" applyBorder="1" applyAlignment="1">
      <alignment horizontal="left" vertical="center"/>
    </xf>
    <xf numFmtId="0" fontId="66" fillId="2" borderId="93" xfId="0" applyFont="1" applyFill="1" applyBorder="1" applyAlignment="1">
      <alignment horizontal="left" vertical="center"/>
    </xf>
    <xf numFmtId="0" fontId="8" fillId="2" borderId="93" xfId="0" applyFont="1" applyFill="1" applyBorder="1" applyAlignment="1">
      <alignment horizontal="left"/>
    </xf>
    <xf numFmtId="0" fontId="4" fillId="2" borderId="93" xfId="0" applyFont="1" applyFill="1" applyBorder="1" applyAlignment="1">
      <alignment vertical="center"/>
    </xf>
    <xf numFmtId="0" fontId="5" fillId="2" borderId="94" xfId="0" applyFont="1" applyFill="1" applyBorder="1" applyAlignment="1">
      <alignment horizontal="left" vertical="center"/>
    </xf>
    <xf numFmtId="1" fontId="79" fillId="2" borderId="93" xfId="0" applyNumberFormat="1" applyFont="1" applyFill="1" applyBorder="1" applyAlignment="1">
      <alignment horizontal="center" vertical="center"/>
    </xf>
    <xf numFmtId="1" fontId="11" fillId="2" borderId="93" xfId="0" applyNumberFormat="1" applyFont="1" applyFill="1" applyBorder="1" applyAlignment="1">
      <alignment horizontal="center" vertical="center"/>
    </xf>
    <xf numFmtId="0" fontId="17" fillId="2" borderId="93" xfId="0" applyFont="1" applyFill="1" applyBorder="1" applyAlignment="1">
      <alignment vertical="center"/>
    </xf>
    <xf numFmtId="0" fontId="27" fillId="2" borderId="93" xfId="0" applyFont="1" applyFill="1" applyBorder="1" applyAlignment="1">
      <alignment horizontal="center" vertical="center"/>
    </xf>
    <xf numFmtId="0" fontId="118" fillId="2" borderId="93" xfId="0" applyFont="1" applyFill="1" applyBorder="1" applyAlignment="1">
      <alignment vertical="center"/>
    </xf>
    <xf numFmtId="0" fontId="27" fillId="2" borderId="93" xfId="0" applyFont="1" applyFill="1" applyBorder="1" applyAlignment="1">
      <alignment horizontal="center" vertical="top"/>
    </xf>
    <xf numFmtId="0" fontId="40" fillId="2" borderId="93" xfId="0" applyFont="1" applyFill="1" applyBorder="1" applyAlignment="1">
      <alignment vertical="center"/>
    </xf>
    <xf numFmtId="0" fontId="40" fillId="2" borderId="93" xfId="0" applyFont="1" applyFill="1" applyBorder="1" applyAlignment="1">
      <alignment horizontal="center" vertical="top"/>
    </xf>
    <xf numFmtId="0" fontId="32" fillId="2" borderId="93" xfId="0" applyFont="1" applyFill="1" applyBorder="1" applyAlignment="1">
      <alignment vertical="center"/>
    </xf>
    <xf numFmtId="0" fontId="11" fillId="2" borderId="93" xfId="0" applyFont="1" applyFill="1" applyBorder="1" applyAlignment="1">
      <alignment vertical="center"/>
    </xf>
    <xf numFmtId="0" fontId="29" fillId="2" borderId="93" xfId="0" applyFont="1" applyFill="1" applyBorder="1" applyAlignment="1">
      <alignment vertical="center"/>
    </xf>
    <xf numFmtId="0" fontId="10" fillId="2" borderId="93" xfId="0" applyFont="1" applyFill="1" applyBorder="1" applyAlignment="1">
      <alignment vertical="center"/>
    </xf>
    <xf numFmtId="0" fontId="7" fillId="2" borderId="93" xfId="0" applyFont="1" applyFill="1" applyBorder="1" applyAlignment="1">
      <alignment vertical="center"/>
    </xf>
    <xf numFmtId="0" fontId="29" fillId="2" borderId="93" xfId="0" applyFont="1" applyFill="1" applyBorder="1" applyAlignment="1">
      <alignment horizontal="center" vertical="center"/>
    </xf>
    <xf numFmtId="0" fontId="21" fillId="40" borderId="93" xfId="0" applyFont="1" applyFill="1" applyBorder="1" applyAlignment="1">
      <alignment vertical="center"/>
    </xf>
    <xf numFmtId="0" fontId="78" fillId="2" borderId="96" xfId="0" applyFont="1" applyFill="1" applyBorder="1" applyAlignment="1">
      <alignment horizontal="center" vertical="center"/>
    </xf>
    <xf numFmtId="1" fontId="4" fillId="2" borderId="96" xfId="0" applyNumberFormat="1" applyFont="1" applyFill="1" applyBorder="1" applyAlignment="1">
      <alignment vertical="center"/>
    </xf>
    <xf numFmtId="1" fontId="37" fillId="2" borderId="96" xfId="0" applyNumberFormat="1" applyFont="1" applyFill="1" applyBorder="1" applyAlignment="1">
      <alignment vertical="center"/>
    </xf>
    <xf numFmtId="0" fontId="26" fillId="2" borderId="96" xfId="0" applyFont="1" applyFill="1" applyBorder="1" applyAlignment="1">
      <alignment horizontal="center" vertical="center"/>
    </xf>
    <xf numFmtId="1" fontId="37" fillId="2" borderId="96" xfId="0" applyNumberFormat="1" applyFont="1" applyFill="1" applyBorder="1" applyAlignment="1">
      <alignment horizontal="center" vertical="center"/>
    </xf>
    <xf numFmtId="0" fontId="6" fillId="2" borderId="96" xfId="0" applyFont="1" applyFill="1" applyBorder="1" applyAlignment="1">
      <alignment horizontal="left"/>
    </xf>
    <xf numFmtId="1" fontId="172" fillId="2" borderId="96" xfId="0" applyNumberFormat="1" applyFont="1" applyFill="1" applyBorder="1" applyAlignment="1">
      <alignment vertical="center"/>
    </xf>
    <xf numFmtId="1" fontId="37" fillId="2" borderId="96" xfId="0" applyNumberFormat="1" applyFont="1" applyFill="1" applyBorder="1" applyAlignment="1">
      <alignment horizontal="center"/>
    </xf>
    <xf numFmtId="1" fontId="37" fillId="2" borderId="96" xfId="0" applyNumberFormat="1" applyFont="1" applyFill="1" applyBorder="1" applyAlignment="1">
      <alignment horizontal="center" vertical="top"/>
    </xf>
    <xf numFmtId="0" fontId="10" fillId="2" borderId="96" xfId="0" applyFont="1" applyFill="1" applyBorder="1" applyAlignment="1">
      <alignment vertical="center"/>
    </xf>
    <xf numFmtId="1" fontId="29" fillId="2" borderId="96" xfId="0" applyNumberFormat="1" applyFont="1" applyFill="1" applyBorder="1" applyAlignment="1">
      <alignment vertical="center"/>
    </xf>
    <xf numFmtId="0" fontId="37" fillId="2" borderId="96" xfId="0" applyFont="1" applyFill="1" applyBorder="1" applyAlignment="1">
      <alignment vertical="center"/>
    </xf>
    <xf numFmtId="0" fontId="5" fillId="2" borderId="96" xfId="0" applyFont="1" applyFill="1" applyBorder="1" applyAlignment="1">
      <alignment horizontal="center" vertical="top"/>
    </xf>
    <xf numFmtId="1" fontId="5" fillId="2" borderId="96" xfId="0" applyNumberFormat="1" applyFont="1" applyFill="1" applyBorder="1" applyAlignment="1">
      <alignment horizontal="center" vertical="center"/>
    </xf>
    <xf numFmtId="0" fontId="4" fillId="2" borderId="96" xfId="0" applyFont="1" applyFill="1" applyBorder="1" applyAlignment="1">
      <alignment horizontal="left" vertical="center"/>
    </xf>
    <xf numFmtId="1" fontId="37" fillId="2" borderId="96" xfId="0" applyNumberFormat="1" applyFont="1" applyFill="1" applyBorder="1" applyAlignment="1">
      <alignment horizontal="left" vertical="center"/>
    </xf>
    <xf numFmtId="1" fontId="66" fillId="2" borderId="96" xfId="0" applyNumberFormat="1" applyFont="1" applyFill="1" applyBorder="1" applyAlignment="1">
      <alignment horizontal="center" vertical="center"/>
    </xf>
    <xf numFmtId="0" fontId="5" fillId="2" borderId="97" xfId="0" applyFont="1" applyFill="1" applyBorder="1" applyAlignment="1">
      <alignment horizontal="left" vertical="center"/>
    </xf>
    <xf numFmtId="1" fontId="29" fillId="2" borderId="93" xfId="0" applyNumberFormat="1" applyFont="1" applyFill="1" applyBorder="1" applyAlignment="1">
      <alignment horizontal="center" vertical="center"/>
    </xf>
    <xf numFmtId="0" fontId="42" fillId="2" borderId="93" xfId="0" applyFont="1" applyFill="1" applyBorder="1" applyAlignment="1">
      <alignment horizontal="center" vertical="center"/>
    </xf>
    <xf numFmtId="0" fontId="5" fillId="2" borderId="93" xfId="0" applyFont="1" applyFill="1" applyBorder="1" applyAlignment="1">
      <alignment horizontal="center" vertical="center"/>
    </xf>
    <xf numFmtId="1" fontId="191" fillId="2" borderId="93" xfId="0" applyNumberFormat="1" applyFont="1" applyFill="1" applyBorder="1" applyAlignment="1">
      <alignment horizontal="center" vertical="center"/>
    </xf>
    <xf numFmtId="1" fontId="42" fillId="2" borderId="93" xfId="0" applyNumberFormat="1" applyFont="1" applyFill="1" applyBorder="1" applyAlignment="1">
      <alignment horizontal="center" vertical="center"/>
    </xf>
    <xf numFmtId="1" fontId="4" fillId="40" borderId="93" xfId="0" applyNumberFormat="1" applyFont="1" applyFill="1" applyBorder="1" applyAlignment="1">
      <alignment horizontal="center" vertical="center"/>
    </xf>
    <xf numFmtId="1" fontId="75" fillId="2" borderId="93" xfId="0" applyNumberFormat="1" applyFont="1" applyFill="1" applyBorder="1" applyAlignment="1">
      <alignment horizontal="center" vertical="center"/>
    </xf>
    <xf numFmtId="1" fontId="4" fillId="2" borderId="93" xfId="0" applyNumberFormat="1" applyFont="1" applyFill="1" applyBorder="1" applyAlignment="1">
      <alignment horizontal="center" vertical="center"/>
    </xf>
    <xf numFmtId="1" fontId="37" fillId="2" borderId="93" xfId="0" applyNumberFormat="1" applyFont="1" applyFill="1" applyBorder="1" applyAlignment="1">
      <alignment horizontal="center" vertical="center"/>
    </xf>
    <xf numFmtId="0" fontId="75" fillId="2" borderId="93" xfId="0" applyFont="1" applyFill="1" applyBorder="1" applyAlignment="1">
      <alignment horizontal="center" vertical="center"/>
    </xf>
    <xf numFmtId="0" fontId="75" fillId="42" borderId="93" xfId="0" applyFont="1" applyFill="1" applyBorder="1" applyAlignment="1">
      <alignment horizontal="center" vertical="center"/>
    </xf>
    <xf numFmtId="0" fontId="193" fillId="2" borderId="93" xfId="0" applyFont="1" applyFill="1" applyBorder="1" applyAlignment="1">
      <alignment horizontal="center" vertical="center" wrapText="1"/>
    </xf>
    <xf numFmtId="0" fontId="75" fillId="39" borderId="93" xfId="0" applyFont="1" applyFill="1" applyBorder="1" applyAlignment="1">
      <alignment horizontal="center" vertical="center"/>
    </xf>
    <xf numFmtId="0" fontId="61" fillId="8" borderId="0" xfId="0" applyFont="1" applyFill="1" applyAlignment="1">
      <alignment vertical="top"/>
    </xf>
    <xf numFmtId="0" fontId="61" fillId="34" borderId="0" xfId="0" applyFont="1" applyFill="1" applyAlignment="1">
      <alignment vertical="top"/>
    </xf>
    <xf numFmtId="0" fontId="54" fillId="30" borderId="0" xfId="0" applyFont="1" applyFill="1"/>
    <xf numFmtId="0" fontId="61" fillId="41" borderId="0" xfId="0" applyFont="1" applyFill="1" applyAlignment="1">
      <alignment vertical="top" wrapText="1"/>
    </xf>
    <xf numFmtId="0" fontId="61" fillId="41" borderId="96" xfId="0" applyFont="1" applyFill="1" applyBorder="1" applyAlignment="1">
      <alignment vertical="top"/>
    </xf>
    <xf numFmtId="0" fontId="61" fillId="41" borderId="0" xfId="0" applyFont="1" applyFill="1" applyAlignment="1">
      <alignment vertical="top"/>
    </xf>
    <xf numFmtId="0" fontId="61" fillId="30" borderId="0" xfId="0" applyFont="1" applyFill="1" applyAlignment="1">
      <alignment vertical="top"/>
    </xf>
    <xf numFmtId="0" fontId="5" fillId="2" borderId="98" xfId="0" applyFont="1" applyFill="1" applyBorder="1" applyAlignment="1">
      <alignment horizontal="center" vertical="center"/>
    </xf>
    <xf numFmtId="0" fontId="75" fillId="39" borderId="95" xfId="0" applyFont="1" applyFill="1" applyBorder="1" applyAlignment="1">
      <alignment horizontal="center" vertical="center"/>
    </xf>
    <xf numFmtId="0" fontId="58" fillId="2" borderId="0" xfId="0" applyFont="1" applyFill="1" applyAlignment="1">
      <alignment vertical="center"/>
    </xf>
    <xf numFmtId="1" fontId="120" fillId="2" borderId="0" xfId="0" applyNumberFormat="1" applyFont="1" applyFill="1"/>
    <xf numFmtId="166" fontId="98" fillId="2" borderId="55" xfId="1" applyNumberFormat="1" applyFont="1" applyFill="1" applyBorder="1" applyAlignment="1">
      <alignment horizontal="center" vertical="center"/>
    </xf>
    <xf numFmtId="2" fontId="98" fillId="2" borderId="0" xfId="0" applyNumberFormat="1" applyFont="1" applyFill="1" applyAlignment="1">
      <alignment horizontal="center" vertical="center"/>
    </xf>
    <xf numFmtId="164" fontId="98" fillId="2" borderId="56" xfId="1" applyNumberFormat="1" applyFont="1" applyFill="1" applyBorder="1" applyAlignment="1">
      <alignment horizontal="center" vertical="center"/>
    </xf>
    <xf numFmtId="10" fontId="116" fillId="2" borderId="63" xfId="1" applyNumberFormat="1" applyFont="1" applyFill="1" applyBorder="1" applyAlignment="1">
      <alignment horizontal="center" vertical="center"/>
    </xf>
    <xf numFmtId="2" fontId="116" fillId="2" borderId="0" xfId="1" applyNumberFormat="1" applyFont="1" applyFill="1" applyBorder="1" applyAlignment="1">
      <alignment horizontal="center" vertical="center"/>
    </xf>
    <xf numFmtId="165" fontId="118" fillId="2" borderId="69" xfId="1" applyNumberFormat="1" applyFont="1" applyFill="1" applyBorder="1" applyAlignment="1">
      <alignment horizontal="center" vertical="center"/>
    </xf>
    <xf numFmtId="2" fontId="34" fillId="2" borderId="74" xfId="1" applyNumberFormat="1" applyFont="1" applyFill="1" applyBorder="1" applyAlignment="1">
      <alignment horizontal="center" vertical="center"/>
    </xf>
    <xf numFmtId="166" fontId="34" fillId="2" borderId="73" xfId="1" applyNumberFormat="1" applyFont="1" applyFill="1" applyBorder="1" applyAlignment="1">
      <alignment horizontal="center" vertical="center"/>
    </xf>
    <xf numFmtId="10" fontId="120" fillId="2" borderId="71" xfId="1" applyNumberFormat="1" applyFont="1" applyFill="1" applyBorder="1" applyAlignment="1">
      <alignment horizontal="center" vertical="center"/>
    </xf>
    <xf numFmtId="1" fontId="120" fillId="2" borderId="74" xfId="1" applyNumberFormat="1" applyFont="1" applyFill="1" applyBorder="1" applyAlignment="1">
      <alignment horizontal="center" vertical="center"/>
    </xf>
    <xf numFmtId="164" fontId="120" fillId="2" borderId="15" xfId="1" applyNumberFormat="1" applyFont="1" applyFill="1" applyBorder="1" applyAlignment="1">
      <alignment horizontal="center" vertical="center"/>
    </xf>
    <xf numFmtId="2" fontId="34" fillId="2" borderId="75" xfId="1" applyNumberFormat="1" applyFont="1" applyFill="1" applyBorder="1" applyAlignment="1">
      <alignment horizontal="center" vertical="center"/>
    </xf>
    <xf numFmtId="166" fontId="34" fillId="2" borderId="76" xfId="1" applyNumberFormat="1" applyFont="1" applyFill="1" applyBorder="1" applyAlignment="1">
      <alignment horizontal="center" vertical="center"/>
    </xf>
    <xf numFmtId="164" fontId="39" fillId="2" borderId="3" xfId="1" applyNumberFormat="1" applyFont="1" applyFill="1" applyBorder="1" applyAlignment="1">
      <alignment horizontal="center" vertical="center"/>
    </xf>
    <xf numFmtId="164" fontId="127" fillId="2" borderId="81" xfId="1" applyNumberFormat="1" applyFont="1" applyFill="1" applyBorder="1" applyAlignment="1">
      <alignment horizontal="center" vertical="center"/>
    </xf>
    <xf numFmtId="9" fontId="131" fillId="2" borderId="86" xfId="1" applyFont="1" applyFill="1" applyBorder="1" applyAlignment="1">
      <alignment horizontal="center" vertical="center"/>
    </xf>
    <xf numFmtId="164" fontId="131" fillId="2" borderId="85" xfId="1" applyNumberFormat="1" applyFont="1" applyFill="1" applyBorder="1" applyAlignment="1">
      <alignment horizontal="center" vertical="center"/>
    </xf>
    <xf numFmtId="164" fontId="41" fillId="2" borderId="85" xfId="1" applyNumberFormat="1" applyFont="1" applyFill="1" applyBorder="1" applyAlignment="1">
      <alignment horizontal="center" vertical="center"/>
    </xf>
    <xf numFmtId="10" fontId="5" fillId="2" borderId="87" xfId="1" applyNumberFormat="1" applyFont="1" applyFill="1" applyBorder="1" applyAlignment="1">
      <alignment horizontal="center" vertical="center"/>
    </xf>
    <xf numFmtId="165" fontId="5" fillId="2" borderId="0" xfId="1" applyNumberFormat="1" applyFont="1" applyFill="1" applyBorder="1" applyAlignment="1">
      <alignment horizontal="center" vertical="center"/>
    </xf>
    <xf numFmtId="0" fontId="5" fillId="2" borderId="0" xfId="0" applyFont="1" applyFill="1" applyAlignment="1">
      <alignment horizontal="left" vertical="center"/>
    </xf>
    <xf numFmtId="0" fontId="17" fillId="2" borderId="99" xfId="0" applyFont="1" applyFill="1" applyBorder="1" applyAlignment="1">
      <alignment horizontal="center" vertical="center"/>
    </xf>
    <xf numFmtId="1" fontId="84" fillId="28" borderId="18" xfId="1" applyNumberFormat="1" applyFont="1" applyFill="1" applyBorder="1" applyAlignment="1">
      <alignment horizontal="center" vertical="center"/>
    </xf>
    <xf numFmtId="164" fontId="84" fillId="28" borderId="26" xfId="1" applyNumberFormat="1" applyFont="1" applyFill="1" applyBorder="1" applyAlignment="1">
      <alignment horizontal="center" vertical="center"/>
    </xf>
    <xf numFmtId="164" fontId="84" fillId="28" borderId="19" xfId="1" applyNumberFormat="1" applyFont="1" applyFill="1" applyBorder="1" applyAlignment="1">
      <alignment horizontal="center" vertical="center"/>
    </xf>
    <xf numFmtId="9" fontId="84" fillId="27" borderId="11" xfId="1" applyFont="1" applyFill="1" applyBorder="1" applyAlignment="1">
      <alignment horizontal="center" vertical="top"/>
    </xf>
    <xf numFmtId="9" fontId="84" fillId="28" borderId="18" xfId="1" applyFont="1" applyFill="1" applyBorder="1" applyAlignment="1">
      <alignment horizontal="center" vertical="center"/>
    </xf>
    <xf numFmtId="9" fontId="199" fillId="27" borderId="11" xfId="1" applyFont="1" applyFill="1" applyBorder="1" applyAlignment="1">
      <alignment horizontal="center" vertical="top"/>
    </xf>
    <xf numFmtId="1" fontId="199" fillId="28" borderId="18" xfId="1" applyNumberFormat="1" applyFont="1" applyFill="1" applyBorder="1" applyAlignment="1">
      <alignment horizontal="center" vertical="center"/>
    </xf>
    <xf numFmtId="164" fontId="199" fillId="28" borderId="26" xfId="1" applyNumberFormat="1" applyFont="1" applyFill="1" applyBorder="1" applyAlignment="1">
      <alignment horizontal="center" vertical="center"/>
    </xf>
    <xf numFmtId="1" fontId="199" fillId="28" borderId="18" xfId="0" applyNumberFormat="1" applyFont="1" applyFill="1" applyBorder="1" applyAlignment="1">
      <alignment horizontal="center" vertical="center"/>
    </xf>
    <xf numFmtId="164" fontId="199" fillId="28" borderId="19" xfId="1" applyNumberFormat="1" applyFont="1" applyFill="1" applyBorder="1" applyAlignment="1">
      <alignment horizontal="center" vertical="center"/>
    </xf>
    <xf numFmtId="9" fontId="199" fillId="26" borderId="27" xfId="1" applyFont="1" applyFill="1" applyBorder="1" applyAlignment="1">
      <alignment horizontal="center" vertical="center"/>
    </xf>
    <xf numFmtId="9" fontId="199" fillId="28" borderId="18" xfId="1" applyFont="1" applyFill="1" applyBorder="1" applyAlignment="1">
      <alignment horizontal="center" vertical="center"/>
    </xf>
    <xf numFmtId="164" fontId="200" fillId="2" borderId="3" xfId="1" applyNumberFormat="1" applyFont="1" applyFill="1" applyBorder="1" applyAlignment="1">
      <alignment horizontal="center" vertical="center"/>
    </xf>
    <xf numFmtId="9" fontId="93" fillId="0" borderId="33" xfId="1" applyFont="1" applyFill="1" applyBorder="1" applyAlignment="1">
      <alignment horizontal="center" vertical="center"/>
    </xf>
    <xf numFmtId="9" fontId="93" fillId="2" borderId="34" xfId="1" applyFont="1" applyFill="1" applyBorder="1" applyAlignment="1">
      <alignment horizontal="center" vertical="center"/>
    </xf>
    <xf numFmtId="2" fontId="93" fillId="2" borderId="0" xfId="0" applyNumberFormat="1" applyFont="1" applyFill="1" applyAlignment="1">
      <alignment horizontal="center" vertical="center"/>
    </xf>
    <xf numFmtId="2" fontId="93" fillId="2" borderId="0" xfId="1" applyNumberFormat="1" applyFont="1" applyFill="1" applyBorder="1" applyAlignment="1">
      <alignment horizontal="center" vertical="center"/>
    </xf>
    <xf numFmtId="164" fontId="93" fillId="2" borderId="33" xfId="1" applyNumberFormat="1" applyFont="1" applyFill="1" applyBorder="1" applyAlignment="1">
      <alignment horizontal="center" vertical="center"/>
    </xf>
    <xf numFmtId="166" fontId="93" fillId="2" borderId="34" xfId="1" applyNumberFormat="1" applyFont="1" applyFill="1" applyBorder="1" applyAlignment="1">
      <alignment horizontal="center" vertical="center"/>
    </xf>
    <xf numFmtId="9" fontId="201" fillId="0" borderId="33" xfId="1" applyFont="1" applyBorder="1" applyAlignment="1">
      <alignment horizontal="center" vertical="center"/>
    </xf>
    <xf numFmtId="1" fontId="201" fillId="2" borderId="0" xfId="0" applyNumberFormat="1" applyFont="1" applyFill="1" applyAlignment="1">
      <alignment horizontal="center" vertical="center"/>
    </xf>
    <xf numFmtId="164" fontId="201" fillId="2" borderId="33" xfId="1" applyNumberFormat="1" applyFont="1" applyFill="1" applyBorder="1" applyAlignment="1">
      <alignment horizontal="center" vertical="center"/>
    </xf>
    <xf numFmtId="9" fontId="201" fillId="2" borderId="34" xfId="1" applyFont="1" applyFill="1" applyBorder="1" applyAlignment="1">
      <alignment horizontal="center" vertical="center"/>
    </xf>
    <xf numFmtId="2" fontId="201" fillId="2" borderId="0" xfId="1" applyNumberFormat="1" applyFont="1" applyFill="1" applyAlignment="1">
      <alignment horizontal="center" vertical="center"/>
    </xf>
    <xf numFmtId="166" fontId="201" fillId="2" borderId="34" xfId="1" applyNumberFormat="1" applyFont="1" applyFill="1" applyBorder="1" applyAlignment="1">
      <alignment horizontal="center" vertical="center"/>
    </xf>
    <xf numFmtId="164" fontId="201" fillId="2" borderId="34" xfId="1" applyNumberFormat="1" applyFont="1" applyFill="1" applyBorder="1" applyAlignment="1">
      <alignment horizontal="center" vertical="center"/>
    </xf>
    <xf numFmtId="165" fontId="201" fillId="2" borderId="0" xfId="0" applyNumberFormat="1" applyFont="1" applyFill="1" applyAlignment="1">
      <alignment horizontal="center" vertical="center"/>
    </xf>
    <xf numFmtId="2" fontId="201" fillId="2" borderId="0" xfId="0" applyNumberFormat="1" applyFont="1" applyFill="1" applyAlignment="1">
      <alignment horizontal="center" vertical="center"/>
    </xf>
    <xf numFmtId="10" fontId="201" fillId="2" borderId="34" xfId="1" applyNumberFormat="1" applyFont="1" applyFill="1" applyBorder="1" applyAlignment="1">
      <alignment horizontal="center" vertical="center"/>
    </xf>
    <xf numFmtId="9" fontId="202" fillId="2" borderId="35" xfId="1" applyFont="1" applyFill="1" applyBorder="1" applyAlignment="1">
      <alignment horizontal="center" vertical="center"/>
    </xf>
    <xf numFmtId="1" fontId="201" fillId="2" borderId="0" xfId="1" applyNumberFormat="1" applyFont="1" applyFill="1" applyAlignment="1">
      <alignment horizontal="center" vertical="center"/>
    </xf>
    <xf numFmtId="164" fontId="201" fillId="2" borderId="0" xfId="1" applyNumberFormat="1" applyFont="1" applyFill="1" applyAlignment="1">
      <alignment horizontal="center" vertical="center"/>
    </xf>
    <xf numFmtId="164" fontId="67" fillId="2" borderId="49" xfId="1" applyNumberFormat="1" applyFont="1" applyFill="1" applyBorder="1" applyAlignment="1">
      <alignment horizontal="center" vertical="center"/>
    </xf>
    <xf numFmtId="164" fontId="98" fillId="2" borderId="41" xfId="1" applyNumberFormat="1" applyFont="1" applyFill="1" applyBorder="1" applyAlignment="1">
      <alignment horizontal="center" vertical="center"/>
    </xf>
    <xf numFmtId="164" fontId="67" fillId="2" borderId="47" xfId="1" applyNumberFormat="1" applyFont="1" applyFill="1" applyBorder="1" applyAlignment="1">
      <alignment horizontal="center" vertical="center"/>
    </xf>
    <xf numFmtId="9" fontId="98" fillId="2" borderId="47" xfId="1" applyFont="1" applyFill="1" applyBorder="1" applyAlignment="1">
      <alignment horizontal="center" vertical="center"/>
    </xf>
    <xf numFmtId="1" fontId="203" fillId="2" borderId="0" xfId="1" applyNumberFormat="1" applyFont="1" applyFill="1" applyAlignment="1">
      <alignment horizontal="center" vertical="center"/>
    </xf>
    <xf numFmtId="164" fontId="203" fillId="2" borderId="41" xfId="1" applyNumberFormat="1" applyFont="1" applyFill="1" applyBorder="1" applyAlignment="1">
      <alignment horizontal="center" vertical="center"/>
    </xf>
    <xf numFmtId="1" fontId="203" fillId="2" borderId="0" xfId="0" applyNumberFormat="1" applyFont="1" applyFill="1" applyAlignment="1">
      <alignment horizontal="center" vertical="center"/>
    </xf>
    <xf numFmtId="164" fontId="204" fillId="2" borderId="49" xfId="1" applyNumberFormat="1" applyFont="1" applyFill="1" applyBorder="1" applyAlignment="1">
      <alignment horizontal="center" vertical="center"/>
    </xf>
    <xf numFmtId="1" fontId="204" fillId="2" borderId="47" xfId="0" applyNumberFormat="1" applyFont="1" applyFill="1" applyBorder="1" applyAlignment="1">
      <alignment horizontal="center" vertical="center"/>
    </xf>
    <xf numFmtId="164" fontId="204" fillId="2" borderId="47" xfId="1" applyNumberFormat="1" applyFont="1" applyFill="1" applyBorder="1" applyAlignment="1">
      <alignment horizontal="center" vertical="center"/>
    </xf>
    <xf numFmtId="164" fontId="203" fillId="2" borderId="0" xfId="1" applyNumberFormat="1" applyFont="1" applyFill="1" applyAlignment="1">
      <alignment horizontal="center" vertical="center"/>
    </xf>
    <xf numFmtId="9" fontId="203" fillId="2" borderId="47" xfId="1" applyFont="1" applyFill="1" applyBorder="1" applyAlignment="1">
      <alignment horizontal="center" vertical="center"/>
    </xf>
    <xf numFmtId="2" fontId="107" fillId="2" borderId="0" xfId="1" applyNumberFormat="1" applyFont="1" applyFill="1" applyBorder="1" applyAlignment="1">
      <alignment horizontal="center" vertical="center"/>
    </xf>
    <xf numFmtId="2" fontId="205" fillId="2" borderId="0" xfId="1" applyNumberFormat="1" applyFont="1" applyFill="1" applyAlignment="1">
      <alignment horizontal="center" vertical="center"/>
    </xf>
    <xf numFmtId="165" fontId="205" fillId="2" borderId="0" xfId="0" applyNumberFormat="1" applyFont="1" applyFill="1" applyAlignment="1">
      <alignment horizontal="center" vertical="center"/>
    </xf>
    <xf numFmtId="164" fontId="205" fillId="2" borderId="0" xfId="1" applyNumberFormat="1" applyFont="1" applyFill="1" applyAlignment="1">
      <alignment horizontal="center" vertical="center"/>
    </xf>
    <xf numFmtId="9" fontId="206" fillId="2" borderId="53" xfId="1" applyFont="1" applyFill="1" applyBorder="1" applyAlignment="1">
      <alignment horizontal="center" vertical="center"/>
    </xf>
    <xf numFmtId="0" fontId="207" fillId="2" borderId="8" xfId="0" applyFont="1" applyFill="1" applyBorder="1"/>
    <xf numFmtId="168" fontId="186" fillId="2" borderId="0" xfId="1" applyNumberFormat="1" applyFont="1" applyFill="1" applyAlignment="1">
      <alignment vertical="center"/>
    </xf>
    <xf numFmtId="167" fontId="27" fillId="2" borderId="0" xfId="0" applyNumberFormat="1" applyFont="1" applyFill="1" applyAlignment="1">
      <alignment horizontal="center" vertical="center"/>
    </xf>
    <xf numFmtId="167" fontId="208" fillId="2" borderId="0" xfId="0" applyNumberFormat="1" applyFont="1" applyFill="1" applyAlignment="1">
      <alignment vertical="center"/>
    </xf>
    <xf numFmtId="9" fontId="21" fillId="2" borderId="0" xfId="1" applyFont="1" applyFill="1" applyAlignment="1">
      <alignment vertical="center"/>
    </xf>
    <xf numFmtId="1" fontId="172" fillId="2" borderId="0" xfId="0" applyNumberFormat="1" applyFont="1" applyFill="1" applyAlignment="1">
      <alignment horizontal="center" vertical="center"/>
    </xf>
    <xf numFmtId="173" fontId="209" fillId="15" borderId="0" xfId="1" applyNumberFormat="1" applyFont="1" applyFill="1" applyAlignment="1">
      <alignment horizontal="center" vertical="center"/>
    </xf>
    <xf numFmtId="0" fontId="111" fillId="2" borderId="96" xfId="0" applyFont="1" applyFill="1" applyBorder="1" applyAlignment="1">
      <alignment vertical="center" wrapText="1"/>
    </xf>
    <xf numFmtId="164" fontId="172" fillId="2" borderId="0" xfId="1" applyNumberFormat="1" applyFont="1" applyFill="1" applyAlignment="1">
      <alignment horizontal="center" vertical="center"/>
    </xf>
    <xf numFmtId="1" fontId="11" fillId="2" borderId="0" xfId="0" applyNumberFormat="1" applyFont="1" applyFill="1" applyAlignment="1">
      <alignment horizontal="center" vertical="center"/>
    </xf>
    <xf numFmtId="1" fontId="37" fillId="2" borderId="96" xfId="0" applyNumberFormat="1" applyFont="1" applyFill="1" applyBorder="1"/>
    <xf numFmtId="1" fontId="11" fillId="2" borderId="93" xfId="0" applyNumberFormat="1" applyFont="1" applyFill="1" applyBorder="1"/>
    <xf numFmtId="0" fontId="40" fillId="2" borderId="93" xfId="0" applyFont="1" applyFill="1" applyBorder="1"/>
    <xf numFmtId="0" fontId="5" fillId="2" borderId="96" xfId="0" applyFont="1" applyFill="1" applyBorder="1"/>
    <xf numFmtId="0" fontId="32" fillId="2" borderId="93" xfId="0" applyFont="1" applyFill="1" applyBorder="1"/>
    <xf numFmtId="0" fontId="21" fillId="42" borderId="93" xfId="0" applyFont="1" applyFill="1" applyBorder="1" applyAlignment="1">
      <alignment horizontal="center" vertical="center"/>
    </xf>
    <xf numFmtId="1" fontId="210" fillId="2" borderId="0" xfId="0" applyNumberFormat="1" applyFont="1" applyFill="1" applyAlignment="1">
      <alignment horizontal="center" vertical="center"/>
    </xf>
    <xf numFmtId="1" fontId="14" fillId="2" borderId="0" xfId="0" applyNumberFormat="1" applyFont="1" applyFill="1" applyAlignment="1">
      <alignment horizontal="center" vertical="center"/>
    </xf>
    <xf numFmtId="1" fontId="97" fillId="2" borderId="0" xfId="0" applyNumberFormat="1" applyFont="1" applyFill="1" applyAlignment="1">
      <alignment horizontal="center" vertical="center"/>
    </xf>
    <xf numFmtId="0" fontId="61" fillId="2" borderId="0" xfId="0" applyFont="1" applyFill="1" applyAlignment="1">
      <alignment vertical="center"/>
    </xf>
    <xf numFmtId="0" fontId="45" fillId="41" borderId="0" xfId="0" applyFont="1" applyFill="1" applyAlignment="1">
      <alignment vertical="center"/>
    </xf>
    <xf numFmtId="0" fontId="4" fillId="2" borderId="1" xfId="0" applyFont="1" applyFill="1" applyBorder="1" applyAlignment="1">
      <alignment vertical="center"/>
    </xf>
    <xf numFmtId="0" fontId="21" fillId="7" borderId="91" xfId="0" applyFont="1" applyFill="1" applyBorder="1" applyAlignment="1">
      <alignment horizontal="left" vertical="center"/>
    </xf>
    <xf numFmtId="0" fontId="21" fillId="7" borderId="92" xfId="0" applyFont="1" applyFill="1" applyBorder="1" applyAlignment="1">
      <alignment horizontal="left" vertical="center" wrapText="1"/>
    </xf>
    <xf numFmtId="0" fontId="5" fillId="2" borderId="96" xfId="0" applyFont="1" applyFill="1" applyBorder="1" applyAlignment="1">
      <alignment vertical="center"/>
    </xf>
    <xf numFmtId="1" fontId="72" fillId="2" borderId="0" xfId="0" applyNumberFormat="1" applyFont="1" applyFill="1" applyAlignment="1">
      <alignment horizontal="center" vertical="center"/>
    </xf>
    <xf numFmtId="1" fontId="78" fillId="30" borderId="0" xfId="0" applyNumberFormat="1" applyFont="1" applyFill="1" applyAlignment="1">
      <alignment horizontal="center" vertical="center" wrapText="1"/>
    </xf>
    <xf numFmtId="1" fontId="14" fillId="2" borderId="0" xfId="0" applyNumberFormat="1" applyFont="1" applyFill="1" applyAlignment="1">
      <alignment horizontal="center" vertical="center" wrapText="1"/>
    </xf>
    <xf numFmtId="1" fontId="9" fillId="2" borderId="0" xfId="0" applyNumberFormat="1" applyFont="1" applyFill="1" applyAlignment="1">
      <alignment vertical="center" wrapText="1"/>
    </xf>
    <xf numFmtId="0" fontId="24" fillId="30" borderId="0" xfId="0" applyFont="1" applyFill="1" applyAlignment="1">
      <alignment wrapText="1"/>
    </xf>
    <xf numFmtId="0" fontId="9" fillId="0" borderId="0" xfId="0" applyFont="1" applyAlignment="1">
      <alignment vertical="center" wrapText="1"/>
    </xf>
    <xf numFmtId="0" fontId="21" fillId="0" borderId="0" xfId="0" applyFont="1" applyAlignment="1">
      <alignment vertical="center" wrapText="1"/>
    </xf>
    <xf numFmtId="1" fontId="33" fillId="2" borderId="0" xfId="0" applyNumberFormat="1" applyFont="1" applyFill="1" applyAlignment="1">
      <alignment vertical="center" wrapText="1"/>
    </xf>
    <xf numFmtId="0" fontId="7" fillId="9" borderId="0" xfId="0" applyFont="1" applyFill="1" applyAlignment="1">
      <alignment wrapText="1"/>
    </xf>
    <xf numFmtId="0" fontId="28" fillId="2" borderId="0" xfId="0" applyFont="1" applyFill="1" applyAlignment="1">
      <alignment vertical="center" wrapText="1"/>
    </xf>
    <xf numFmtId="0" fontId="11" fillId="0" borderId="0" xfId="0" applyFont="1" applyAlignment="1">
      <alignment vertical="center" wrapText="1"/>
    </xf>
    <xf numFmtId="0" fontId="29" fillId="0" borderId="0" xfId="0" applyFont="1" applyAlignment="1">
      <alignment vertical="center" wrapText="1"/>
    </xf>
    <xf numFmtId="1" fontId="30" fillId="4" borderId="0" xfId="0" applyNumberFormat="1" applyFont="1" applyFill="1" applyAlignment="1">
      <alignment vertical="center" wrapText="1"/>
    </xf>
    <xf numFmtId="0" fontId="32" fillId="10" borderId="0" xfId="0" applyFont="1" applyFill="1" applyAlignment="1">
      <alignment wrapText="1"/>
    </xf>
    <xf numFmtId="1" fontId="29" fillId="0" borderId="0" xfId="0" applyNumberFormat="1" applyFont="1" applyAlignment="1">
      <alignment vertical="center" wrapText="1"/>
    </xf>
    <xf numFmtId="0" fontId="43" fillId="2" borderId="0" xfId="0" applyFont="1" applyFill="1" applyAlignment="1">
      <alignment vertical="center" wrapText="1"/>
    </xf>
    <xf numFmtId="0" fontId="26" fillId="41" borderId="0" xfId="0" applyFont="1" applyFill="1" applyAlignment="1">
      <alignment vertical="top" wrapText="1"/>
    </xf>
    <xf numFmtId="1" fontId="4" fillId="0" borderId="0" xfId="0" applyNumberFormat="1" applyFont="1" applyAlignment="1">
      <alignment horizontal="left" vertical="center" wrapText="1"/>
    </xf>
    <xf numFmtId="1" fontId="4" fillId="0" borderId="0" xfId="0" applyNumberFormat="1" applyFont="1" applyAlignment="1">
      <alignment vertical="center" wrapText="1"/>
    </xf>
    <xf numFmtId="1" fontId="30" fillId="0" borderId="0" xfId="0" applyNumberFormat="1" applyFont="1" applyAlignment="1">
      <alignment vertical="center" wrapText="1"/>
    </xf>
    <xf numFmtId="1" fontId="37" fillId="0" borderId="0" xfId="0" applyNumberFormat="1" applyFont="1" applyAlignment="1">
      <alignment horizontal="left" vertical="center" wrapText="1"/>
    </xf>
    <xf numFmtId="0" fontId="7" fillId="12" borderId="0" xfId="0" applyFont="1" applyFill="1" applyAlignment="1">
      <alignment wrapText="1"/>
    </xf>
    <xf numFmtId="0" fontId="7" fillId="13" borderId="0" xfId="0" applyFont="1" applyFill="1" applyAlignment="1">
      <alignment wrapText="1"/>
    </xf>
    <xf numFmtId="0" fontId="7" fillId="8" borderId="0" xfId="0" applyFont="1" applyFill="1" applyAlignment="1">
      <alignment wrapText="1"/>
    </xf>
    <xf numFmtId="0" fontId="13" fillId="8" borderId="0" xfId="0" applyFont="1" applyFill="1" applyAlignment="1">
      <alignment vertical="top" wrapText="1"/>
    </xf>
    <xf numFmtId="0" fontId="42" fillId="2" borderId="0" xfId="0" applyFont="1" applyFill="1" applyAlignment="1">
      <alignment horizontal="left" vertical="center" wrapText="1"/>
    </xf>
    <xf numFmtId="0" fontId="9" fillId="2" borderId="0" xfId="0" applyFont="1" applyFill="1" applyAlignment="1">
      <alignment vertical="center" wrapText="1"/>
    </xf>
    <xf numFmtId="0" fontId="12" fillId="30" borderId="0" xfId="0" applyFont="1" applyFill="1" applyAlignment="1">
      <alignment wrapText="1"/>
    </xf>
    <xf numFmtId="0" fontId="44" fillId="0" borderId="0" xfId="0" applyFont="1" applyAlignment="1">
      <alignment vertical="center" wrapText="1"/>
    </xf>
    <xf numFmtId="0" fontId="32" fillId="0" borderId="0" xfId="0" applyFont="1" applyAlignment="1">
      <alignment vertical="center" wrapText="1"/>
    </xf>
    <xf numFmtId="0" fontId="32" fillId="2" borderId="0" xfId="0" applyFont="1" applyFill="1" applyAlignment="1">
      <alignment vertical="center" wrapText="1"/>
    </xf>
    <xf numFmtId="0" fontId="26" fillId="34" borderId="0" xfId="0" applyFont="1" applyFill="1" applyAlignment="1">
      <alignment wrapText="1"/>
    </xf>
    <xf numFmtId="0" fontId="46" fillId="2" borderId="0" xfId="0" applyFont="1" applyFill="1" applyAlignment="1">
      <alignment vertical="center" wrapText="1"/>
    </xf>
    <xf numFmtId="1" fontId="11" fillId="0" borderId="0" xfId="0" applyNumberFormat="1" applyFont="1" applyAlignment="1">
      <alignment vertical="center" wrapText="1"/>
    </xf>
    <xf numFmtId="1" fontId="68" fillId="2" borderId="0" xfId="0" applyNumberFormat="1" applyFont="1" applyFill="1" applyAlignment="1">
      <alignment vertical="center" wrapText="1"/>
    </xf>
    <xf numFmtId="0" fontId="33" fillId="2" borderId="0" xfId="0" applyFont="1" applyFill="1" applyAlignment="1">
      <alignment vertical="center" wrapText="1"/>
    </xf>
    <xf numFmtId="0" fontId="7" fillId="32" borderId="0" xfId="0" applyFont="1" applyFill="1" applyAlignment="1">
      <alignment wrapText="1"/>
    </xf>
    <xf numFmtId="0" fontId="55" fillId="29" borderId="0" xfId="0" applyFont="1" applyFill="1" applyAlignment="1">
      <alignment wrapText="1"/>
    </xf>
    <xf numFmtId="0" fontId="5" fillId="2" borderId="1" xfId="0" applyFont="1" applyFill="1" applyBorder="1" applyAlignment="1">
      <alignment horizontal="left" vertical="center" wrapText="1"/>
    </xf>
    <xf numFmtId="0" fontId="40" fillId="0" borderId="0" xfId="0" applyFont="1" applyAlignment="1">
      <alignment vertical="center" wrapText="1"/>
    </xf>
    <xf numFmtId="168" fontId="9" fillId="0" borderId="0" xfId="0" applyNumberFormat="1" applyFont="1" applyAlignment="1">
      <alignment vertical="center"/>
    </xf>
    <xf numFmtId="167" fontId="9" fillId="0" borderId="0" xfId="0" applyNumberFormat="1" applyFont="1" applyAlignment="1">
      <alignment vertical="center"/>
    </xf>
    <xf numFmtId="0" fontId="36" fillId="2" borderId="93" xfId="0" applyFont="1" applyFill="1" applyBorder="1" applyAlignment="1">
      <alignment vertical="center"/>
    </xf>
    <xf numFmtId="0" fontId="17" fillId="0" borderId="0" xfId="0" applyFont="1" applyAlignment="1">
      <alignment vertical="center" wrapText="1"/>
    </xf>
    <xf numFmtId="165" fontId="36" fillId="0" borderId="0" xfId="0" applyNumberFormat="1" applyFont="1" applyAlignment="1">
      <alignment vertical="center"/>
    </xf>
    <xf numFmtId="165" fontId="21" fillId="2" borderId="0" xfId="0" applyNumberFormat="1" applyFont="1" applyFill="1" applyAlignment="1">
      <alignment vertical="center"/>
    </xf>
    <xf numFmtId="1" fontId="48" fillId="0" borderId="0" xfId="0" applyNumberFormat="1" applyFont="1" applyAlignment="1">
      <alignment horizontal="right" vertical="center"/>
    </xf>
    <xf numFmtId="165" fontId="48" fillId="0" borderId="0" xfId="0" applyNumberFormat="1" applyFont="1" applyAlignment="1">
      <alignment vertical="center"/>
    </xf>
    <xf numFmtId="165" fontId="29" fillId="0" borderId="0" xfId="0" applyNumberFormat="1" applyFont="1" applyAlignment="1">
      <alignment horizontal="right" vertical="center"/>
    </xf>
    <xf numFmtId="165" fontId="51" fillId="0" borderId="0" xfId="0" applyNumberFormat="1" applyFont="1" applyAlignment="1">
      <alignment horizontal="right" vertical="center"/>
    </xf>
    <xf numFmtId="165" fontId="49" fillId="0" borderId="0" xfId="0" applyNumberFormat="1" applyFont="1" applyAlignment="1">
      <alignment horizontal="right" vertical="center"/>
    </xf>
    <xf numFmtId="1" fontId="21" fillId="0" borderId="0" xfId="0" applyNumberFormat="1" applyFont="1" applyAlignment="1">
      <alignment horizontal="right" vertical="center"/>
    </xf>
    <xf numFmtId="0" fontId="9" fillId="7" borderId="92" xfId="0" applyFont="1" applyFill="1" applyBorder="1" applyAlignment="1">
      <alignment horizontal="left" vertical="center" wrapText="1"/>
    </xf>
    <xf numFmtId="0" fontId="9" fillId="7" borderId="92" xfId="0" applyFont="1" applyFill="1" applyBorder="1" applyAlignment="1">
      <alignment horizontal="left" vertical="center"/>
    </xf>
    <xf numFmtId="1" fontId="50" fillId="7" borderId="92" xfId="0" applyNumberFormat="1" applyFont="1" applyFill="1" applyBorder="1" applyAlignment="1">
      <alignment vertical="center"/>
    </xf>
    <xf numFmtId="0" fontId="11" fillId="2" borderId="92" xfId="0" applyFont="1" applyFill="1" applyBorder="1" applyAlignment="1">
      <alignment vertical="center"/>
    </xf>
    <xf numFmtId="0" fontId="9" fillId="7" borderId="91" xfId="0" applyFont="1" applyFill="1" applyBorder="1" applyAlignment="1">
      <alignment horizontal="left" vertical="center" wrapText="1"/>
    </xf>
    <xf numFmtId="0" fontId="9" fillId="7" borderId="91" xfId="0" applyFont="1" applyFill="1" applyBorder="1" applyAlignment="1">
      <alignment horizontal="left" vertical="center"/>
    </xf>
    <xf numFmtId="0" fontId="11" fillId="7" borderId="91" xfId="0" applyFont="1" applyFill="1" applyBorder="1" applyAlignment="1">
      <alignment vertical="center"/>
    </xf>
    <xf numFmtId="0" fontId="49" fillId="7" borderId="91" xfId="0" applyFont="1" applyFill="1" applyBorder="1" applyAlignment="1">
      <alignment horizontal="center" vertical="center"/>
    </xf>
    <xf numFmtId="167" fontId="48" fillId="7" borderId="91" xfId="0" applyNumberFormat="1" applyFont="1" applyFill="1" applyBorder="1" applyAlignment="1">
      <alignment vertical="center"/>
    </xf>
    <xf numFmtId="0" fontId="50" fillId="7" borderId="91" xfId="0" applyFont="1" applyFill="1" applyBorder="1" applyAlignment="1">
      <alignment vertical="center"/>
    </xf>
    <xf numFmtId="0" fontId="9" fillId="7" borderId="91" xfId="0" applyFont="1" applyFill="1" applyBorder="1" applyAlignment="1">
      <alignment vertical="center"/>
    </xf>
    <xf numFmtId="0" fontId="11" fillId="2" borderId="91" xfId="0" applyFont="1" applyFill="1" applyBorder="1" applyAlignment="1">
      <alignment vertical="center"/>
    </xf>
    <xf numFmtId="0" fontId="212" fillId="30" borderId="0" xfId="0" applyFont="1" applyFill="1" applyAlignment="1">
      <alignment vertical="center"/>
    </xf>
    <xf numFmtId="1" fontId="11" fillId="2" borderId="93" xfId="0" applyNumberFormat="1" applyFont="1" applyFill="1" applyBorder="1" applyAlignment="1">
      <alignment vertical="center"/>
    </xf>
    <xf numFmtId="1" fontId="9" fillId="40" borderId="96" xfId="0" applyNumberFormat="1" applyFont="1" applyFill="1" applyBorder="1" applyAlignment="1">
      <alignment vertical="center"/>
    </xf>
    <xf numFmtId="1" fontId="9" fillId="2" borderId="93" xfId="0" applyNumberFormat="1" applyFont="1" applyFill="1" applyBorder="1" applyAlignment="1">
      <alignment horizontal="center" vertical="center"/>
    </xf>
    <xf numFmtId="1" fontId="9" fillId="2" borderId="93" xfId="0" applyNumberFormat="1" applyFont="1" applyFill="1" applyBorder="1" applyAlignment="1">
      <alignment vertical="center"/>
    </xf>
    <xf numFmtId="1" fontId="21" fillId="2" borderId="93" xfId="0" applyNumberFormat="1" applyFont="1" applyFill="1" applyBorder="1" applyAlignment="1">
      <alignment vertical="center"/>
    </xf>
    <xf numFmtId="1" fontId="11" fillId="2" borderId="0" xfId="0" applyNumberFormat="1" applyFont="1" applyFill="1" applyAlignment="1">
      <alignment vertical="center"/>
    </xf>
    <xf numFmtId="1" fontId="50" fillId="2" borderId="0" xfId="0" applyNumberFormat="1" applyFont="1" applyFill="1" applyAlignment="1">
      <alignment vertical="center"/>
    </xf>
    <xf numFmtId="1" fontId="9" fillId="15" borderId="0" xfId="0" applyNumberFormat="1" applyFont="1" applyFill="1" applyAlignment="1">
      <alignment vertical="center"/>
    </xf>
    <xf numFmtId="1" fontId="21" fillId="15" borderId="0" xfId="0" applyNumberFormat="1" applyFont="1" applyFill="1" applyAlignment="1">
      <alignment vertical="center"/>
    </xf>
    <xf numFmtId="1" fontId="4" fillId="2" borderId="93" xfId="0" applyNumberFormat="1" applyFont="1" applyFill="1" applyBorder="1" applyAlignment="1">
      <alignment vertical="center"/>
    </xf>
    <xf numFmtId="0" fontId="21" fillId="42" borderId="93" xfId="0" applyFont="1" applyFill="1" applyBorder="1" applyAlignment="1">
      <alignment horizontal="left" vertical="center"/>
    </xf>
    <xf numFmtId="0" fontId="21" fillId="42" borderId="96" xfId="0" applyFont="1" applyFill="1" applyBorder="1" applyAlignment="1">
      <alignment horizontal="left" vertical="center"/>
    </xf>
    <xf numFmtId="0" fontId="13" fillId="2" borderId="0" xfId="0" applyFont="1" applyFill="1" applyAlignment="1">
      <alignment vertical="center"/>
    </xf>
    <xf numFmtId="0" fontId="27" fillId="2" borderId="93" xfId="0" applyFont="1" applyFill="1" applyBorder="1" applyAlignment="1">
      <alignment vertical="center"/>
    </xf>
    <xf numFmtId="0" fontId="11" fillId="2" borderId="96" xfId="0" applyFont="1" applyFill="1" applyBorder="1" applyAlignment="1">
      <alignment vertical="center"/>
    </xf>
    <xf numFmtId="0" fontId="29" fillId="2" borderId="93" xfId="0" applyFont="1" applyFill="1" applyBorder="1" applyAlignment="1">
      <alignment horizontal="left" vertical="center"/>
    </xf>
    <xf numFmtId="1" fontId="29" fillId="4" borderId="0" xfId="0" applyNumberFormat="1" applyFont="1" applyFill="1" applyAlignment="1">
      <alignment vertical="center"/>
    </xf>
    <xf numFmtId="1" fontId="36" fillId="4" borderId="0" xfId="0" applyNumberFormat="1" applyFont="1" applyFill="1" applyAlignment="1">
      <alignment horizontal="right" vertical="center"/>
    </xf>
    <xf numFmtId="1" fontId="51" fillId="4" borderId="0" xfId="0" applyNumberFormat="1" applyFont="1" applyFill="1" applyAlignment="1">
      <alignment horizontal="right" vertical="center"/>
    </xf>
    <xf numFmtId="1" fontId="49" fillId="4" borderId="0" xfId="0" applyNumberFormat="1" applyFont="1" applyFill="1" applyAlignment="1">
      <alignment horizontal="right" vertical="center"/>
    </xf>
    <xf numFmtId="1" fontId="72" fillId="15" borderId="0" xfId="0" applyNumberFormat="1" applyFont="1" applyFill="1" applyAlignment="1">
      <alignment vertical="center"/>
    </xf>
    <xf numFmtId="1" fontId="29" fillId="15" borderId="0" xfId="0" applyNumberFormat="1" applyFont="1" applyFill="1" applyAlignment="1">
      <alignment vertical="center"/>
    </xf>
    <xf numFmtId="1" fontId="73" fillId="15" borderId="0" xfId="0" applyNumberFormat="1" applyFont="1" applyFill="1" applyAlignment="1">
      <alignment vertical="center"/>
    </xf>
    <xf numFmtId="1" fontId="36" fillId="0" borderId="0" xfId="0" applyNumberFormat="1" applyFont="1" applyAlignment="1">
      <alignment horizontal="right" vertical="center"/>
    </xf>
    <xf numFmtId="1" fontId="49" fillId="0" borderId="0" xfId="0" applyNumberFormat="1" applyFont="1" applyAlignment="1">
      <alignment horizontal="right" vertical="center"/>
    </xf>
    <xf numFmtId="1" fontId="74" fillId="4" borderId="0" xfId="0" applyNumberFormat="1" applyFont="1" applyFill="1" applyAlignment="1">
      <alignment vertical="center"/>
    </xf>
    <xf numFmtId="1" fontId="38" fillId="15" borderId="0" xfId="0" applyNumberFormat="1" applyFont="1" applyFill="1" applyAlignment="1">
      <alignment vertical="center"/>
    </xf>
    <xf numFmtId="0" fontId="26" fillId="2" borderId="93" xfId="0" applyFont="1" applyFill="1" applyBorder="1" applyAlignment="1">
      <alignment vertical="center"/>
    </xf>
    <xf numFmtId="0" fontId="11" fillId="2" borderId="93" xfId="0" applyFont="1" applyFill="1" applyBorder="1" applyAlignment="1">
      <alignment horizontal="right" vertical="center"/>
    </xf>
    <xf numFmtId="0" fontId="11" fillId="2" borderId="0" xfId="0" applyFont="1" applyFill="1" applyAlignment="1">
      <alignment horizontal="right" vertical="center"/>
    </xf>
    <xf numFmtId="2" fontId="29" fillId="0" borderId="0" xfId="0" applyNumberFormat="1" applyFont="1" applyAlignment="1">
      <alignment vertical="center"/>
    </xf>
    <xf numFmtId="2" fontId="36" fillId="0" borderId="0" xfId="0" applyNumberFormat="1" applyFont="1" applyAlignment="1">
      <alignment horizontal="right" vertical="center"/>
    </xf>
    <xf numFmtId="2" fontId="51" fillId="0" borderId="0" xfId="0" applyNumberFormat="1" applyFont="1" applyAlignment="1">
      <alignment horizontal="right" vertical="center"/>
    </xf>
    <xf numFmtId="2" fontId="49" fillId="0" borderId="0" xfId="0" applyNumberFormat="1" applyFont="1" applyAlignment="1">
      <alignment horizontal="right" vertical="center"/>
    </xf>
    <xf numFmtId="1" fontId="51" fillId="0" borderId="0" xfId="0" applyNumberFormat="1" applyFont="1" applyAlignment="1">
      <alignment horizontal="right" vertical="center"/>
    </xf>
    <xf numFmtId="165" fontId="36" fillId="0" borderId="0" xfId="0" applyNumberFormat="1" applyFont="1" applyAlignment="1">
      <alignment horizontal="right" vertical="center"/>
    </xf>
    <xf numFmtId="1" fontId="38" fillId="2" borderId="0" xfId="0" applyNumberFormat="1" applyFont="1" applyFill="1" applyAlignment="1">
      <alignment vertical="center"/>
    </xf>
    <xf numFmtId="165" fontId="11" fillId="2" borderId="0" xfId="0" applyNumberFormat="1" applyFont="1" applyFill="1" applyAlignment="1">
      <alignment vertical="center"/>
    </xf>
    <xf numFmtId="164" fontId="11" fillId="2" borderId="0" xfId="1" applyNumberFormat="1" applyFont="1" applyFill="1" applyAlignment="1">
      <alignment vertical="center"/>
    </xf>
    <xf numFmtId="0" fontId="45" fillId="41" borderId="0" xfId="0" applyFont="1" applyFill="1" applyAlignment="1">
      <alignment vertical="center" wrapText="1"/>
    </xf>
    <xf numFmtId="0" fontId="4" fillId="2" borderId="96" xfId="0" applyFont="1" applyFill="1" applyBorder="1" applyAlignment="1">
      <alignment vertical="center"/>
    </xf>
    <xf numFmtId="0" fontId="29" fillId="2" borderId="96" xfId="0" applyFont="1" applyFill="1" applyBorder="1" applyAlignment="1">
      <alignment vertical="center"/>
    </xf>
    <xf numFmtId="171" fontId="29" fillId="0" borderId="0" xfId="2" applyNumberFormat="1" applyFont="1" applyAlignment="1">
      <alignment vertical="center"/>
    </xf>
    <xf numFmtId="165" fontId="29" fillId="15" borderId="0" xfId="0" applyNumberFormat="1" applyFont="1" applyFill="1" applyAlignment="1">
      <alignment vertical="center"/>
    </xf>
    <xf numFmtId="165" fontId="49" fillId="0" borderId="0" xfId="0" applyNumberFormat="1" applyFont="1" applyAlignment="1">
      <alignment vertical="center"/>
    </xf>
    <xf numFmtId="2" fontId="49" fillId="0" borderId="0" xfId="0" applyNumberFormat="1" applyFont="1" applyAlignment="1">
      <alignment vertical="center"/>
    </xf>
    <xf numFmtId="1" fontId="29" fillId="0" borderId="0" xfId="0" applyNumberFormat="1" applyFont="1" applyAlignment="1">
      <alignment horizontal="right" vertical="center"/>
    </xf>
    <xf numFmtId="2" fontId="29" fillId="0" borderId="0" xfId="0" applyNumberFormat="1" applyFont="1" applyAlignment="1">
      <alignment horizontal="right" vertical="center"/>
    </xf>
    <xf numFmtId="2" fontId="9" fillId="0" borderId="0" xfId="0" applyNumberFormat="1" applyFont="1" applyAlignment="1">
      <alignment vertical="center"/>
    </xf>
    <xf numFmtId="164" fontId="22" fillId="2" borderId="0" xfId="1" applyNumberFormat="1" applyFont="1" applyFill="1" applyAlignment="1">
      <alignment horizontal="center" vertical="center"/>
    </xf>
    <xf numFmtId="165" fontId="9" fillId="0" borderId="0" xfId="1" applyNumberFormat="1" applyFont="1" applyAlignment="1">
      <alignment vertical="center"/>
    </xf>
    <xf numFmtId="165" fontId="50" fillId="0" borderId="0" xfId="1" applyNumberFormat="1" applyFont="1" applyAlignment="1">
      <alignment vertical="center"/>
    </xf>
    <xf numFmtId="1" fontId="9" fillId="0" borderId="0" xfId="1" applyNumberFormat="1" applyFont="1" applyAlignment="1">
      <alignment vertical="center"/>
    </xf>
    <xf numFmtId="1" fontId="50" fillId="0" borderId="0" xfId="1" applyNumberFormat="1" applyFont="1" applyAlignment="1">
      <alignment vertical="center"/>
    </xf>
    <xf numFmtId="1" fontId="21" fillId="0" borderId="0" xfId="1" applyNumberFormat="1" applyFont="1" applyAlignment="1">
      <alignment vertical="center"/>
    </xf>
    <xf numFmtId="1" fontId="48" fillId="0" borderId="0" xfId="1" applyNumberFormat="1" applyFont="1" applyAlignment="1">
      <alignment vertical="center"/>
    </xf>
    <xf numFmtId="0" fontId="4" fillId="2" borderId="94" xfId="0" applyFont="1" applyFill="1" applyBorder="1" applyAlignment="1">
      <alignment horizontal="left" vertical="center"/>
    </xf>
    <xf numFmtId="0" fontId="4" fillId="2" borderId="97"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8" fillId="2" borderId="1" xfId="0" applyFont="1" applyFill="1" applyBorder="1" applyAlignment="1">
      <alignment horizontal="left" vertical="center"/>
    </xf>
    <xf numFmtId="0" fontId="50" fillId="2" borderId="1" xfId="0" applyFont="1" applyFill="1" applyBorder="1" applyAlignment="1">
      <alignment horizontal="left" vertical="center"/>
    </xf>
    <xf numFmtId="1" fontId="9" fillId="0" borderId="0" xfId="0" applyNumberFormat="1" applyFont="1" applyAlignment="1">
      <alignment horizontal="left" vertical="center" wrapText="1"/>
    </xf>
    <xf numFmtId="0" fontId="26" fillId="2" borderId="0" xfId="0" applyFont="1" applyFill="1" applyAlignment="1">
      <alignment vertical="center"/>
    </xf>
    <xf numFmtId="0" fontId="21" fillId="39" borderId="96" xfId="0" applyFont="1" applyFill="1" applyBorder="1" applyAlignment="1">
      <alignment horizontal="left" vertical="center"/>
    </xf>
    <xf numFmtId="0" fontId="47" fillId="2" borderId="0" xfId="0" applyFont="1" applyFill="1" applyAlignment="1">
      <alignment vertical="center"/>
    </xf>
    <xf numFmtId="0" fontId="53" fillId="2" borderId="0" xfId="0" applyFont="1" applyFill="1" applyAlignment="1">
      <alignment vertical="center" wrapText="1"/>
    </xf>
    <xf numFmtId="0" fontId="54" fillId="29" borderId="0" xfId="0" applyFont="1" applyFill="1"/>
    <xf numFmtId="0" fontId="54" fillId="32" borderId="0" xfId="0" applyFont="1" applyFill="1"/>
    <xf numFmtId="0" fontId="24" fillId="32" borderId="0" xfId="0" applyFont="1" applyFill="1" applyAlignment="1">
      <alignment vertical="top"/>
    </xf>
    <xf numFmtId="0" fontId="54" fillId="29" borderId="0" xfId="0" applyFont="1" applyFill="1" applyAlignment="1">
      <alignment horizontal="center" vertical="top"/>
    </xf>
    <xf numFmtId="0" fontId="54" fillId="34" borderId="0" xfId="0" applyFont="1" applyFill="1"/>
    <xf numFmtId="1" fontId="10" fillId="2" borderId="93" xfId="0" applyNumberFormat="1" applyFont="1" applyFill="1" applyBorder="1" applyAlignment="1">
      <alignment horizontal="center" vertical="top"/>
    </xf>
    <xf numFmtId="0" fontId="26" fillId="2" borderId="93" xfId="0" applyFont="1" applyFill="1" applyBorder="1" applyAlignment="1">
      <alignment horizontal="center" vertical="top"/>
    </xf>
    <xf numFmtId="0" fontId="12" fillId="2" borderId="96" xfId="0" applyFont="1" applyFill="1" applyBorder="1" applyAlignment="1">
      <alignment horizontal="center" vertical="top"/>
    </xf>
    <xf numFmtId="1" fontId="42" fillId="2" borderId="93" xfId="0" applyNumberFormat="1" applyFont="1" applyFill="1" applyBorder="1" applyAlignment="1">
      <alignment horizontal="center" vertical="top"/>
    </xf>
    <xf numFmtId="1" fontId="14" fillId="30" borderId="0" xfId="0" applyNumberFormat="1" applyFont="1" applyFill="1" applyAlignment="1">
      <alignment horizontal="center" vertical="top" wrapText="1"/>
    </xf>
    <xf numFmtId="1" fontId="14" fillId="30" borderId="0" xfId="0" applyNumberFormat="1" applyFont="1" applyFill="1" applyAlignment="1">
      <alignment horizontal="center" vertical="top"/>
    </xf>
    <xf numFmtId="1" fontId="97" fillId="30" borderId="0" xfId="0" applyNumberFormat="1" applyFont="1" applyFill="1" applyAlignment="1">
      <alignment horizontal="center" vertical="top"/>
    </xf>
    <xf numFmtId="1" fontId="10" fillId="30" borderId="0" xfId="0" applyNumberFormat="1" applyFont="1" applyFill="1" applyAlignment="1">
      <alignment horizontal="center" vertical="top"/>
    </xf>
    <xf numFmtId="1" fontId="5" fillId="2" borderId="96" xfId="0" applyNumberFormat="1" applyFont="1" applyFill="1" applyBorder="1"/>
    <xf numFmtId="0" fontId="192" fillId="2" borderId="93" xfId="0" applyFont="1" applyFill="1" applyBorder="1" applyAlignment="1">
      <alignment horizontal="center"/>
    </xf>
    <xf numFmtId="0" fontId="27" fillId="2" borderId="93" xfId="0" applyFont="1" applyFill="1" applyBorder="1"/>
    <xf numFmtId="0" fontId="54" fillId="9" borderId="0" xfId="0" applyFont="1" applyFill="1"/>
    <xf numFmtId="1" fontId="14" fillId="9" borderId="0" xfId="0" applyNumberFormat="1" applyFont="1" applyFill="1"/>
    <xf numFmtId="0" fontId="27" fillId="9" borderId="0" xfId="0" applyFont="1" applyFill="1"/>
    <xf numFmtId="0" fontId="156" fillId="9" borderId="0" xfId="0" applyFont="1" applyFill="1"/>
    <xf numFmtId="0" fontId="185" fillId="9" borderId="0" xfId="0" applyFont="1" applyFill="1"/>
    <xf numFmtId="0" fontId="26" fillId="2" borderId="93" xfId="0" applyFont="1" applyFill="1" applyBorder="1"/>
    <xf numFmtId="0" fontId="197" fillId="10" borderId="0" xfId="0" applyFont="1" applyFill="1"/>
    <xf numFmtId="1" fontId="14" fillId="10" borderId="0" xfId="0" applyNumberFormat="1" applyFont="1" applyFill="1"/>
    <xf numFmtId="0" fontId="26" fillId="10" borderId="0" xfId="0" applyFont="1" applyFill="1"/>
    <xf numFmtId="0" fontId="156" fillId="10" borderId="0" xfId="0" applyFont="1" applyFill="1"/>
    <xf numFmtId="0" fontId="185" fillId="10" borderId="0" xfId="0" applyFont="1" applyFill="1"/>
    <xf numFmtId="0" fontId="192" fillId="2" borderId="93" xfId="0" applyFont="1" applyFill="1" applyBorder="1" applyAlignment="1">
      <alignment horizontal="center" wrapText="1"/>
    </xf>
    <xf numFmtId="0" fontId="54" fillId="11" borderId="0" xfId="0" applyFont="1" applyFill="1"/>
    <xf numFmtId="165" fontId="27" fillId="11" borderId="0" xfId="0" applyNumberFormat="1" applyFont="1" applyFill="1"/>
    <xf numFmtId="1" fontId="27" fillId="11" borderId="0" xfId="0" applyNumberFormat="1" applyFont="1" applyFill="1"/>
    <xf numFmtId="0" fontId="27" fillId="11" borderId="0" xfId="0" applyFont="1" applyFill="1"/>
    <xf numFmtId="0" fontId="156" fillId="11" borderId="0" xfId="0" applyFont="1" applyFill="1"/>
    <xf numFmtId="0" fontId="185" fillId="11" borderId="0" xfId="0" applyFont="1" applyFill="1"/>
    <xf numFmtId="0" fontId="54" fillId="12" borderId="0" xfId="0" applyFont="1" applyFill="1"/>
    <xf numFmtId="165" fontId="26" fillId="12" borderId="0" xfId="0" applyNumberFormat="1" applyFont="1" applyFill="1"/>
    <xf numFmtId="1" fontId="26" fillId="12" borderId="0" xfId="0" applyNumberFormat="1" applyFont="1" applyFill="1"/>
    <xf numFmtId="0" fontId="26" fillId="12" borderId="0" xfId="0" applyFont="1" applyFill="1"/>
    <xf numFmtId="0" fontId="156" fillId="12" borderId="0" xfId="0" applyFont="1" applyFill="1"/>
    <xf numFmtId="0" fontId="185" fillId="12" borderId="0" xfId="0" applyFont="1" applyFill="1"/>
    <xf numFmtId="0" fontId="54" fillId="13" borderId="0" xfId="0" applyFont="1" applyFill="1"/>
    <xf numFmtId="165" fontId="26" fillId="13" borderId="0" xfId="0" applyNumberFormat="1" applyFont="1" applyFill="1"/>
    <xf numFmtId="1" fontId="26" fillId="13" borderId="0" xfId="0" applyNumberFormat="1" applyFont="1" applyFill="1"/>
    <xf numFmtId="0" fontId="26" fillId="13" borderId="0" xfId="0" applyFont="1" applyFill="1"/>
    <xf numFmtId="0" fontId="156" fillId="13" borderId="0" xfId="0" applyFont="1" applyFill="1"/>
    <xf numFmtId="0" fontId="185" fillId="13" borderId="0" xfId="0" applyFont="1" applyFill="1"/>
    <xf numFmtId="0" fontId="40" fillId="13" borderId="0" xfId="0" applyFont="1" applyFill="1"/>
    <xf numFmtId="0" fontId="194" fillId="2" borderId="93" xfId="0" applyFont="1" applyFill="1" applyBorder="1" applyAlignment="1">
      <alignment horizontal="center" wrapText="1"/>
    </xf>
    <xf numFmtId="0" fontId="54" fillId="8" borderId="0" xfId="0" applyFont="1" applyFill="1"/>
    <xf numFmtId="165" fontId="26" fillId="8" borderId="0" xfId="0" applyNumberFormat="1" applyFont="1" applyFill="1"/>
    <xf numFmtId="1" fontId="26" fillId="8" borderId="0" xfId="0" applyNumberFormat="1" applyFont="1" applyFill="1"/>
    <xf numFmtId="0" fontId="26" fillId="8" borderId="0" xfId="0" applyFont="1" applyFill="1"/>
    <xf numFmtId="0" fontId="156" fillId="8" borderId="0" xfId="0" applyFont="1" applyFill="1"/>
    <xf numFmtId="0" fontId="185" fillId="8" borderId="0" xfId="0" applyFont="1" applyFill="1"/>
    <xf numFmtId="0" fontId="40" fillId="8" borderId="0" xfId="0" applyFont="1" applyFill="1"/>
    <xf numFmtId="0" fontId="194" fillId="2" borderId="93" xfId="0" applyFont="1" applyFill="1" applyBorder="1" applyAlignment="1">
      <alignment horizontal="center"/>
    </xf>
    <xf numFmtId="0" fontId="12" fillId="30" borderId="0" xfId="0" applyFont="1" applyFill="1"/>
    <xf numFmtId="0" fontId="26" fillId="30" borderId="0" xfId="0" applyFont="1" applyFill="1"/>
    <xf numFmtId="0" fontId="156" fillId="30" borderId="0" xfId="0" applyFont="1" applyFill="1"/>
    <xf numFmtId="0" fontId="185" fillId="30" borderId="0" xfId="0" applyFont="1" applyFill="1"/>
    <xf numFmtId="0" fontId="40" fillId="30" borderId="0" xfId="0" applyFont="1" applyFill="1"/>
    <xf numFmtId="0" fontId="24" fillId="2" borderId="96" xfId="0" applyFont="1" applyFill="1" applyBorder="1"/>
    <xf numFmtId="0" fontId="193" fillId="2" borderId="93" xfId="0" applyFont="1" applyFill="1" applyBorder="1" applyAlignment="1">
      <alignment horizontal="center"/>
    </xf>
    <xf numFmtId="0" fontId="45" fillId="34" borderId="0" xfId="0" applyFont="1" applyFill="1"/>
    <xf numFmtId="0" fontId="26" fillId="34" borderId="0" xfId="0" applyFont="1" applyFill="1"/>
    <xf numFmtId="0" fontId="156" fillId="34" borderId="0" xfId="0" applyFont="1" applyFill="1"/>
    <xf numFmtId="0" fontId="185" fillId="34" borderId="0" xfId="0" applyFont="1" applyFill="1"/>
    <xf numFmtId="0" fontId="32" fillId="34" borderId="0" xfId="0" applyFont="1" applyFill="1"/>
    <xf numFmtId="0" fontId="56" fillId="2" borderId="93" xfId="0" applyFont="1" applyFill="1" applyBorder="1"/>
    <xf numFmtId="0" fontId="8" fillId="2" borderId="96" xfId="0" applyFont="1" applyFill="1" applyBorder="1"/>
    <xf numFmtId="0" fontId="7" fillId="32" borderId="0" xfId="0" applyFont="1" applyFill="1"/>
    <xf numFmtId="0" fontId="157" fillId="32" borderId="0" xfId="0" applyFont="1" applyFill="1"/>
    <xf numFmtId="0" fontId="56" fillId="32" borderId="0" xfId="0" applyFont="1" applyFill="1"/>
    <xf numFmtId="0" fontId="55" fillId="29" borderId="0" xfId="0" applyFont="1" applyFill="1"/>
    <xf numFmtId="0" fontId="27" fillId="29" borderId="0" xfId="0" applyFont="1" applyFill="1"/>
    <xf numFmtId="0" fontId="156" fillId="29" borderId="0" xfId="0" applyFont="1" applyFill="1"/>
    <xf numFmtId="0" fontId="185" fillId="29" borderId="0" xfId="0" applyFont="1" applyFill="1"/>
    <xf numFmtId="1" fontId="97" fillId="30" borderId="0" xfId="0" applyNumberFormat="1" applyFont="1" applyFill="1" applyAlignment="1">
      <alignment horizontal="center"/>
    </xf>
    <xf numFmtId="0" fontId="29" fillId="2" borderId="93" xfId="0" applyFont="1" applyFill="1" applyBorder="1" applyAlignment="1">
      <alignment horizontal="center" vertical="top"/>
    </xf>
    <xf numFmtId="0" fontId="37" fillId="2" borderId="93" xfId="0" applyFont="1" applyFill="1" applyBorder="1" applyAlignment="1">
      <alignment horizontal="center" vertical="top"/>
    </xf>
    <xf numFmtId="0" fontId="194" fillId="2" borderId="93" xfId="0" applyFont="1" applyFill="1" applyBorder="1" applyAlignment="1">
      <alignment horizontal="center" vertical="top"/>
    </xf>
    <xf numFmtId="0" fontId="55" fillId="29" borderId="0" xfId="0" applyFont="1" applyFill="1" applyAlignment="1">
      <alignment horizontal="center" vertical="top" wrapText="1"/>
    </xf>
    <xf numFmtId="0" fontId="55" fillId="29" borderId="0" xfId="0" applyFont="1" applyFill="1" applyAlignment="1">
      <alignment horizontal="center" vertical="top"/>
    </xf>
    <xf numFmtId="1" fontId="14" fillId="29" borderId="0" xfId="0" applyNumberFormat="1" applyFont="1" applyFill="1" applyAlignment="1">
      <alignment horizontal="center" vertical="top"/>
    </xf>
    <xf numFmtId="1" fontId="156" fillId="29" borderId="0" xfId="0" applyNumberFormat="1" applyFont="1" applyFill="1" applyAlignment="1">
      <alignment horizontal="center" vertical="top"/>
    </xf>
    <xf numFmtId="1" fontId="97" fillId="29" borderId="0" xfId="0" applyNumberFormat="1" applyFont="1" applyFill="1" applyAlignment="1">
      <alignment horizontal="center" vertical="top"/>
    </xf>
    <xf numFmtId="0" fontId="29" fillId="29" borderId="0" xfId="0" applyFont="1" applyFill="1" applyAlignment="1">
      <alignment horizontal="center" vertical="top"/>
    </xf>
    <xf numFmtId="0" fontId="29" fillId="2" borderId="93" xfId="0" applyFont="1" applyFill="1" applyBorder="1" applyAlignment="1">
      <alignment vertical="top"/>
    </xf>
    <xf numFmtId="0" fontId="52" fillId="2" borderId="93" xfId="0" applyFont="1" applyFill="1" applyBorder="1" applyAlignment="1">
      <alignment horizontal="left" vertical="top"/>
    </xf>
    <xf numFmtId="0" fontId="52" fillId="2" borderId="96" xfId="0" applyFont="1" applyFill="1" applyBorder="1" applyAlignment="1">
      <alignment vertical="top"/>
    </xf>
    <xf numFmtId="0" fontId="192" fillId="2" borderId="93" xfId="0" applyFont="1" applyFill="1" applyBorder="1" applyAlignment="1">
      <alignment horizontal="center" vertical="top"/>
    </xf>
    <xf numFmtId="0" fontId="7" fillId="32" borderId="0" xfId="0" applyFont="1" applyFill="1" applyAlignment="1">
      <alignment vertical="top" wrapText="1"/>
    </xf>
    <xf numFmtId="0" fontId="7" fillId="32" borderId="0" xfId="0" applyFont="1" applyFill="1" applyAlignment="1">
      <alignment vertical="top"/>
    </xf>
    <xf numFmtId="1" fontId="14" fillId="32" borderId="0" xfId="0" applyNumberFormat="1" applyFont="1" applyFill="1" applyAlignment="1">
      <alignment vertical="top"/>
    </xf>
    <xf numFmtId="1" fontId="156" fillId="32" borderId="0" xfId="0" applyNumberFormat="1" applyFont="1" applyFill="1" applyAlignment="1">
      <alignment horizontal="center" vertical="top"/>
    </xf>
    <xf numFmtId="1" fontId="97" fillId="32" borderId="0" xfId="0" applyNumberFormat="1" applyFont="1" applyFill="1" applyAlignment="1">
      <alignment vertical="top"/>
    </xf>
    <xf numFmtId="0" fontId="29" fillId="32" borderId="0" xfId="0" applyFont="1" applyFill="1" applyAlignment="1">
      <alignment vertical="top"/>
    </xf>
    <xf numFmtId="0" fontId="32" fillId="2" borderId="93" xfId="0" applyFont="1" applyFill="1" applyBorder="1" applyAlignment="1">
      <alignment vertical="top"/>
    </xf>
    <xf numFmtId="0" fontId="25" fillId="2" borderId="93" xfId="0" applyFont="1" applyFill="1" applyBorder="1" applyAlignment="1">
      <alignment horizontal="left" vertical="top"/>
    </xf>
    <xf numFmtId="0" fontId="24" fillId="2" borderId="96" xfId="0" applyFont="1" applyFill="1" applyBorder="1" applyAlignment="1">
      <alignment vertical="top"/>
    </xf>
    <xf numFmtId="0" fontId="195" fillId="2" borderId="93" xfId="0" applyFont="1" applyFill="1" applyBorder="1" applyAlignment="1">
      <alignment horizontal="center" vertical="top"/>
    </xf>
    <xf numFmtId="0" fontId="24" fillId="34" borderId="0" xfId="0" applyFont="1" applyFill="1" applyAlignment="1">
      <alignment vertical="top" wrapText="1"/>
    </xf>
    <xf numFmtId="0" fontId="24" fillId="34" borderId="0" xfId="0" applyFont="1" applyFill="1" applyAlignment="1">
      <alignment vertical="top"/>
    </xf>
    <xf numFmtId="1" fontId="14" fillId="34" borderId="0" xfId="0" applyNumberFormat="1" applyFont="1" applyFill="1" applyAlignment="1">
      <alignment vertical="top"/>
    </xf>
    <xf numFmtId="1" fontId="156" fillId="34" borderId="0" xfId="0" applyNumberFormat="1" applyFont="1" applyFill="1" applyAlignment="1">
      <alignment horizontal="center" vertical="top"/>
    </xf>
    <xf numFmtId="1" fontId="97" fillId="34" borderId="0" xfId="0" applyNumberFormat="1" applyFont="1" applyFill="1" applyAlignment="1">
      <alignment vertical="top"/>
    </xf>
    <xf numFmtId="0" fontId="32" fillId="34" borderId="0" xfId="0" applyFont="1" applyFill="1" applyAlignment="1">
      <alignment vertical="top"/>
    </xf>
    <xf numFmtId="0" fontId="12" fillId="30" borderId="0" xfId="0" applyFont="1" applyFill="1" applyAlignment="1">
      <alignment horizontal="center" vertical="top"/>
    </xf>
    <xf numFmtId="1" fontId="14" fillId="30" borderId="0" xfId="1" applyNumberFormat="1" applyFont="1" applyFill="1" applyAlignment="1">
      <alignment horizontal="center" vertical="top"/>
    </xf>
    <xf numFmtId="0" fontId="26" fillId="30" borderId="0" xfId="0" applyFont="1" applyFill="1" applyAlignment="1">
      <alignment horizontal="center" vertical="top"/>
    </xf>
    <xf numFmtId="0" fontId="40" fillId="30" borderId="0" xfId="0" applyFont="1" applyFill="1" applyAlignment="1">
      <alignment horizontal="center" vertical="top"/>
    </xf>
    <xf numFmtId="0" fontId="194" fillId="2" borderId="93" xfId="0" applyFont="1" applyFill="1" applyBorder="1" applyAlignment="1">
      <alignment horizontal="center" vertical="top" wrapText="1"/>
    </xf>
    <xf numFmtId="0" fontId="40" fillId="2" borderId="93" xfId="0" applyFont="1" applyFill="1" applyBorder="1" applyAlignment="1">
      <alignment vertical="top"/>
    </xf>
    <xf numFmtId="0" fontId="7" fillId="13" borderId="0" xfId="0" applyFont="1" applyFill="1" applyAlignment="1">
      <alignment vertical="top"/>
    </xf>
    <xf numFmtId="0" fontId="7" fillId="13" borderId="0" xfId="0" applyFont="1" applyFill="1" applyAlignment="1">
      <alignment horizontal="center" vertical="top" wrapText="1"/>
    </xf>
    <xf numFmtId="0" fontId="7" fillId="13" borderId="0" xfId="0" applyFont="1" applyFill="1" applyAlignment="1">
      <alignment horizontal="center" vertical="top"/>
    </xf>
    <xf numFmtId="1" fontId="14" fillId="13" borderId="0" xfId="1" applyNumberFormat="1" applyFont="1" applyFill="1" applyAlignment="1">
      <alignment horizontal="center" vertical="top"/>
    </xf>
    <xf numFmtId="1" fontId="14" fillId="13" borderId="0" xfId="0" applyNumberFormat="1" applyFont="1" applyFill="1" applyAlignment="1">
      <alignment horizontal="center" vertical="top"/>
    </xf>
    <xf numFmtId="1" fontId="97" fillId="13" borderId="0" xfId="0" applyNumberFormat="1" applyFont="1" applyFill="1" applyAlignment="1">
      <alignment horizontal="center" vertical="top"/>
    </xf>
    <xf numFmtId="0" fontId="40" fillId="13" borderId="0" xfId="0" applyFont="1" applyFill="1" applyAlignment="1">
      <alignment vertical="top"/>
    </xf>
    <xf numFmtId="0" fontId="6" fillId="2" borderId="93" xfId="0" applyFont="1" applyFill="1" applyBorder="1" applyAlignment="1">
      <alignment horizontal="center" vertical="top"/>
    </xf>
    <xf numFmtId="0" fontId="6" fillId="2" borderId="96" xfId="0" applyFont="1" applyFill="1" applyBorder="1" applyAlignment="1">
      <alignment horizontal="center" vertical="top"/>
    </xf>
    <xf numFmtId="0" fontId="7" fillId="12" borderId="0" xfId="0" applyFont="1" applyFill="1" applyAlignment="1">
      <alignment vertical="top"/>
    </xf>
    <xf numFmtId="0" fontId="7" fillId="12" borderId="0" xfId="0" applyFont="1" applyFill="1" applyAlignment="1">
      <alignment horizontal="center" vertical="top" wrapText="1"/>
    </xf>
    <xf numFmtId="0" fontId="7" fillId="12" borderId="0" xfId="0" applyFont="1" applyFill="1" applyAlignment="1">
      <alignment horizontal="center" vertical="top"/>
    </xf>
    <xf numFmtId="1" fontId="14" fillId="12" borderId="0" xfId="1" applyNumberFormat="1" applyFont="1" applyFill="1" applyAlignment="1">
      <alignment horizontal="center" vertical="top"/>
    </xf>
    <xf numFmtId="1" fontId="14" fillId="12" borderId="0" xfId="0" applyNumberFormat="1" applyFont="1" applyFill="1" applyAlignment="1">
      <alignment horizontal="center" vertical="top"/>
    </xf>
    <xf numFmtId="1" fontId="97" fillId="12" borderId="0" xfId="0" applyNumberFormat="1" applyFont="1" applyFill="1" applyAlignment="1">
      <alignment horizontal="center" vertical="top"/>
    </xf>
    <xf numFmtId="0" fontId="26" fillId="12" borderId="0" xfId="0" applyFont="1" applyFill="1" applyAlignment="1">
      <alignment horizontal="center" vertical="top"/>
    </xf>
    <xf numFmtId="0" fontId="193" fillId="2" borderId="93" xfId="0" applyFont="1" applyFill="1" applyBorder="1" applyAlignment="1">
      <alignment horizontal="center" vertical="top" wrapText="1"/>
    </xf>
    <xf numFmtId="0" fontId="26" fillId="11" borderId="0" xfId="0" applyFont="1" applyFill="1" applyAlignment="1">
      <alignment horizontal="center" vertical="top" wrapText="1"/>
    </xf>
    <xf numFmtId="1" fontId="14" fillId="11" borderId="0" xfId="1" applyNumberFormat="1" applyFont="1" applyFill="1" applyAlignment="1">
      <alignment horizontal="center" vertical="top"/>
    </xf>
    <xf numFmtId="1" fontId="14" fillId="11" borderId="0" xfId="0" applyNumberFormat="1" applyFont="1" applyFill="1" applyAlignment="1">
      <alignment horizontal="center" vertical="top"/>
    </xf>
    <xf numFmtId="1" fontId="97" fillId="11" borderId="0" xfId="0" applyNumberFormat="1" applyFont="1" applyFill="1" applyAlignment="1">
      <alignment horizontal="center" vertical="top"/>
    </xf>
    <xf numFmtId="0" fontId="27" fillId="11" borderId="0" xfId="0" applyFont="1" applyFill="1" applyAlignment="1">
      <alignment horizontal="center" vertical="top"/>
    </xf>
    <xf numFmtId="0" fontId="31" fillId="10" borderId="0" xfId="0" applyFont="1" applyFill="1" applyAlignment="1">
      <alignment vertical="top"/>
    </xf>
    <xf numFmtId="0" fontId="32" fillId="10" borderId="0" xfId="0" applyFont="1" applyFill="1" applyAlignment="1">
      <alignment horizontal="center" vertical="top" wrapText="1"/>
    </xf>
    <xf numFmtId="0" fontId="32" fillId="10" borderId="0" xfId="0" applyFont="1" applyFill="1" applyAlignment="1">
      <alignment horizontal="center" vertical="top"/>
    </xf>
    <xf numFmtId="1" fontId="10" fillId="10" borderId="0" xfId="1" applyNumberFormat="1" applyFont="1" applyFill="1" applyAlignment="1">
      <alignment horizontal="center" vertical="top"/>
    </xf>
    <xf numFmtId="1" fontId="10" fillId="10" borderId="0" xfId="0" applyNumberFormat="1" applyFont="1" applyFill="1" applyAlignment="1">
      <alignment horizontal="center" vertical="top"/>
    </xf>
    <xf numFmtId="1" fontId="97" fillId="10" borderId="0" xfId="0" applyNumberFormat="1" applyFont="1" applyFill="1" applyAlignment="1">
      <alignment horizontal="center" vertical="top"/>
    </xf>
    <xf numFmtId="0" fontId="27" fillId="10" borderId="0" xfId="0" applyFont="1" applyFill="1" applyAlignment="1">
      <alignment horizontal="center" vertical="top"/>
    </xf>
    <xf numFmtId="0" fontId="24" fillId="9" borderId="0" xfId="0" applyFont="1" applyFill="1" applyAlignment="1">
      <alignment vertical="top"/>
    </xf>
    <xf numFmtId="0" fontId="7" fillId="9" borderId="0" xfId="0" applyFont="1" applyFill="1" applyAlignment="1">
      <alignment horizontal="center" vertical="top" wrapText="1"/>
    </xf>
    <xf numFmtId="0" fontId="7" fillId="9" borderId="0" xfId="0" applyFont="1" applyFill="1" applyAlignment="1">
      <alignment horizontal="center" vertical="top"/>
    </xf>
    <xf numFmtId="1" fontId="14" fillId="9" borderId="0" xfId="1" applyNumberFormat="1" applyFont="1" applyFill="1" applyAlignment="1">
      <alignment horizontal="center" vertical="top"/>
    </xf>
    <xf numFmtId="1" fontId="14" fillId="9" borderId="0" xfId="0" applyNumberFormat="1" applyFont="1" applyFill="1" applyAlignment="1">
      <alignment horizontal="center" vertical="top"/>
    </xf>
    <xf numFmtId="1" fontId="97" fillId="9" borderId="0" xfId="0" applyNumberFormat="1" applyFont="1" applyFill="1" applyAlignment="1">
      <alignment horizontal="center" vertical="top"/>
    </xf>
    <xf numFmtId="0" fontId="27" fillId="9" borderId="0" xfId="0" applyFont="1" applyFill="1" applyAlignment="1">
      <alignment horizontal="center" vertical="top"/>
    </xf>
    <xf numFmtId="1" fontId="11" fillId="2" borderId="93" xfId="0" applyNumberFormat="1" applyFont="1" applyFill="1" applyBorder="1" applyAlignment="1">
      <alignment horizontal="center" vertical="top"/>
    </xf>
    <xf numFmtId="0" fontId="26" fillId="2" borderId="96" xfId="0" applyFont="1" applyFill="1" applyBorder="1" applyAlignment="1">
      <alignment horizontal="center" vertical="top"/>
    </xf>
    <xf numFmtId="1" fontId="11" fillId="30" borderId="0" xfId="0" applyNumberFormat="1" applyFont="1" applyFill="1" applyAlignment="1">
      <alignment horizontal="center" vertical="top"/>
    </xf>
    <xf numFmtId="0" fontId="40" fillId="0" borderId="0" xfId="0" applyFont="1" applyAlignment="1">
      <alignment horizontal="left" vertical="top" wrapText="1"/>
    </xf>
    <xf numFmtId="1" fontId="30" fillId="0" borderId="0" xfId="0" applyNumberFormat="1" applyFont="1" applyAlignment="1">
      <alignment horizontal="left" vertical="center"/>
    </xf>
    <xf numFmtId="1" fontId="50" fillId="15" borderId="0" xfId="0" applyNumberFormat="1" applyFont="1" applyFill="1" applyAlignment="1">
      <alignment vertical="center"/>
    </xf>
    <xf numFmtId="1" fontId="48" fillId="15" borderId="0" xfId="0" applyNumberFormat="1" applyFont="1" applyFill="1" applyAlignment="1">
      <alignment vertical="center"/>
    </xf>
    <xf numFmtId="1" fontId="97" fillId="9" borderId="0" xfId="0" applyNumberFormat="1" applyFont="1" applyFill="1"/>
    <xf numFmtId="1" fontId="49" fillId="4" borderId="0" xfId="0" applyNumberFormat="1" applyFont="1" applyFill="1" applyAlignment="1">
      <alignment vertical="center"/>
    </xf>
    <xf numFmtId="1" fontId="49" fillId="15" borderId="0" xfId="0" applyNumberFormat="1" applyFont="1" applyFill="1" applyAlignment="1">
      <alignment vertical="center"/>
    </xf>
    <xf numFmtId="1" fontId="97" fillId="10" borderId="0" xfId="0" applyNumberFormat="1" applyFont="1" applyFill="1"/>
    <xf numFmtId="1" fontId="185" fillId="11" borderId="0" xfId="0" applyNumberFormat="1" applyFont="1" applyFill="1"/>
    <xf numFmtId="171" fontId="49" fillId="0" borderId="0" xfId="2" applyNumberFormat="1" applyFont="1" applyAlignment="1">
      <alignment vertical="center"/>
    </xf>
    <xf numFmtId="165" fontId="49" fillId="15" borderId="0" xfId="0" applyNumberFormat="1" applyFont="1" applyFill="1" applyAlignment="1">
      <alignment vertical="center"/>
    </xf>
    <xf numFmtId="1" fontId="185" fillId="12" borderId="0" xfId="0" applyNumberFormat="1" applyFont="1" applyFill="1"/>
    <xf numFmtId="1" fontId="185" fillId="13" borderId="0" xfId="0" applyNumberFormat="1" applyFont="1" applyFill="1"/>
    <xf numFmtId="2" fontId="50" fillId="0" borderId="0" xfId="0" applyNumberFormat="1" applyFont="1" applyAlignment="1">
      <alignment vertical="center"/>
    </xf>
    <xf numFmtId="165" fontId="48" fillId="2" borderId="0" xfId="0" applyNumberFormat="1" applyFont="1" applyFill="1" applyAlignment="1">
      <alignment vertical="center"/>
    </xf>
    <xf numFmtId="9" fontId="50" fillId="2" borderId="0" xfId="1" applyFont="1" applyFill="1" applyAlignment="1">
      <alignment vertical="center"/>
    </xf>
    <xf numFmtId="1" fontId="185" fillId="8" borderId="0" xfId="0" applyNumberFormat="1" applyFont="1" applyFill="1"/>
    <xf numFmtId="0" fontId="185" fillId="30" borderId="0" xfId="0" applyFont="1" applyFill="1" applyAlignment="1">
      <alignment horizontal="center"/>
    </xf>
    <xf numFmtId="1" fontId="97" fillId="30" borderId="0" xfId="1" applyNumberFormat="1" applyFont="1" applyFill="1" applyAlignment="1">
      <alignment horizontal="center" vertical="top"/>
    </xf>
    <xf numFmtId="0" fontId="185" fillId="34" borderId="0" xfId="0" applyFont="1" applyFill="1" applyAlignment="1">
      <alignment horizontal="center"/>
    </xf>
    <xf numFmtId="1" fontId="97" fillId="34" borderId="0" xfId="1" applyNumberFormat="1" applyFont="1" applyFill="1" applyAlignment="1">
      <alignment horizontal="center" vertical="top"/>
    </xf>
    <xf numFmtId="0" fontId="185" fillId="2" borderId="0" xfId="0" applyFont="1" applyFill="1" applyAlignment="1">
      <alignment horizontal="center" vertical="center"/>
    </xf>
    <xf numFmtId="1" fontId="50" fillId="2" borderId="0" xfId="0" applyNumberFormat="1" applyFont="1" applyFill="1" applyAlignment="1">
      <alignment horizontal="left" vertical="center"/>
    </xf>
    <xf numFmtId="0" fontId="50" fillId="7" borderId="92" xfId="0" applyFont="1" applyFill="1" applyBorder="1" applyAlignment="1">
      <alignment horizontal="left" vertical="center"/>
    </xf>
    <xf numFmtId="0" fontId="50" fillId="7" borderId="0" xfId="0" applyFont="1" applyFill="1" applyAlignment="1">
      <alignment horizontal="left" vertical="center"/>
    </xf>
    <xf numFmtId="1" fontId="97" fillId="32" borderId="0" xfId="1" applyNumberFormat="1" applyFont="1" applyFill="1" applyAlignment="1">
      <alignment horizontal="center" vertical="top"/>
    </xf>
    <xf numFmtId="1" fontId="48" fillId="2" borderId="0" xfId="0" applyNumberFormat="1" applyFont="1" applyFill="1" applyAlignment="1">
      <alignment vertical="center" wrapText="1"/>
    </xf>
    <xf numFmtId="0" fontId="185" fillId="29" borderId="0" xfId="0" applyFont="1" applyFill="1" applyAlignment="1">
      <alignment horizontal="center"/>
    </xf>
    <xf numFmtId="1" fontId="97" fillId="29" borderId="0" xfId="1" applyNumberFormat="1" applyFont="1" applyFill="1" applyAlignment="1">
      <alignment horizontal="center" vertical="top"/>
    </xf>
    <xf numFmtId="0" fontId="28" fillId="2" borderId="65" xfId="0" applyFont="1" applyFill="1" applyBorder="1" applyAlignment="1">
      <alignment horizontal="left" vertical="center" wrapText="1"/>
    </xf>
    <xf numFmtId="0" fontId="13" fillId="2" borderId="0" xfId="0" applyFont="1" applyFill="1" applyAlignment="1">
      <alignment vertical="top"/>
    </xf>
    <xf numFmtId="0" fontId="26" fillId="2" borderId="0" xfId="0" applyFont="1" applyFill="1" applyAlignment="1">
      <alignment horizontal="center" vertical="top" wrapText="1"/>
    </xf>
    <xf numFmtId="1" fontId="14" fillId="2" borderId="0" xfId="1" applyNumberFormat="1" applyFont="1" applyFill="1" applyAlignment="1">
      <alignment horizontal="center" vertical="top"/>
    </xf>
    <xf numFmtId="1" fontId="14" fillId="2" borderId="0" xfId="0" applyNumberFormat="1" applyFont="1" applyFill="1" applyAlignment="1">
      <alignment horizontal="center" vertical="top"/>
    </xf>
    <xf numFmtId="1" fontId="97" fillId="2" borderId="0" xfId="0" applyNumberFormat="1" applyFont="1" applyFill="1" applyAlignment="1">
      <alignment horizontal="center" vertical="top"/>
    </xf>
    <xf numFmtId="0" fontId="27" fillId="2" borderId="0" xfId="0" applyFont="1" applyFill="1" applyAlignment="1">
      <alignment horizontal="center" vertical="top"/>
    </xf>
    <xf numFmtId="1" fontId="184" fillId="2" borderId="0" xfId="0" applyNumberFormat="1" applyFont="1" applyFill="1" applyAlignment="1">
      <alignment vertical="center"/>
    </xf>
    <xf numFmtId="0" fontId="86" fillId="2" borderId="0" xfId="0" applyFont="1" applyFill="1" applyAlignment="1">
      <alignment horizontal="center" vertical="center" wrapText="1"/>
    </xf>
    <xf numFmtId="0" fontId="87" fillId="2" borderId="0" xfId="0" applyFont="1" applyFill="1" applyAlignment="1">
      <alignment horizontal="center"/>
    </xf>
    <xf numFmtId="0" fontId="17" fillId="2" borderId="0" xfId="0" applyFont="1" applyFill="1" applyAlignment="1">
      <alignment horizontal="center" vertical="top" wrapText="1"/>
    </xf>
    <xf numFmtId="0" fontId="140" fillId="22" borderId="11" xfId="0" applyFont="1" applyFill="1" applyBorder="1" applyAlignment="1">
      <alignment horizontal="center" vertical="center" wrapText="1"/>
    </xf>
    <xf numFmtId="0" fontId="140" fillId="22" borderId="17" xfId="0" applyFont="1" applyFill="1" applyBorder="1" applyAlignment="1">
      <alignment horizontal="center" vertical="center" wrapText="1"/>
    </xf>
    <xf numFmtId="0" fontId="90" fillId="22" borderId="30" xfId="0" applyFont="1" applyFill="1" applyBorder="1" applyAlignment="1">
      <alignment horizontal="center" wrapText="1"/>
    </xf>
    <xf numFmtId="0" fontId="90" fillId="22" borderId="0" xfId="0" applyFont="1" applyFill="1" applyAlignment="1">
      <alignment horizontal="center" wrapText="1"/>
    </xf>
    <xf numFmtId="0" fontId="92" fillId="22" borderId="30" xfId="0" applyFont="1" applyFill="1" applyBorder="1" applyAlignment="1">
      <alignment horizontal="center"/>
    </xf>
    <xf numFmtId="0" fontId="92" fillId="22" borderId="0" xfId="0" applyFont="1" applyFill="1" applyAlignment="1">
      <alignment horizontal="center"/>
    </xf>
    <xf numFmtId="0" fontId="92" fillId="22" borderId="30" xfId="0" applyFont="1" applyFill="1" applyBorder="1" applyAlignment="1">
      <alignment horizontal="center" wrapText="1"/>
    </xf>
    <xf numFmtId="0" fontId="92" fillId="22" borderId="0" xfId="0" applyFont="1" applyFill="1" applyAlignment="1">
      <alignment horizontal="center" wrapText="1"/>
    </xf>
    <xf numFmtId="0" fontId="91" fillId="22" borderId="30" xfId="0" applyFont="1" applyFill="1" applyBorder="1" applyAlignment="1">
      <alignment horizontal="center" wrapText="1"/>
    </xf>
    <xf numFmtId="0" fontId="91" fillId="22" borderId="34" xfId="0" applyFont="1" applyFill="1" applyBorder="1" applyAlignment="1">
      <alignment horizontal="center" wrapText="1"/>
    </xf>
    <xf numFmtId="0" fontId="91" fillId="22" borderId="50" xfId="0" applyFont="1" applyFill="1" applyBorder="1" applyAlignment="1">
      <alignment horizontal="center" wrapText="1"/>
    </xf>
    <xf numFmtId="0" fontId="91" fillId="22" borderId="11" xfId="0" applyFont="1" applyFill="1" applyBorder="1" applyAlignment="1">
      <alignment horizontal="center" wrapText="1"/>
    </xf>
    <xf numFmtId="0" fontId="137" fillId="25" borderId="11" xfId="0" applyFont="1" applyFill="1" applyBorder="1" applyAlignment="1">
      <alignment horizontal="center" vertical="center" wrapText="1"/>
    </xf>
    <xf numFmtId="0" fontId="137" fillId="25" borderId="17" xfId="0" applyFont="1" applyFill="1" applyBorder="1" applyAlignment="1">
      <alignment horizontal="center" vertical="center" wrapText="1"/>
    </xf>
    <xf numFmtId="0" fontId="89" fillId="25" borderId="30" xfId="0" applyFont="1" applyFill="1" applyBorder="1" applyAlignment="1">
      <alignment horizontal="center" wrapText="1"/>
    </xf>
    <xf numFmtId="0" fontId="89" fillId="25" borderId="24" xfId="0" applyFont="1" applyFill="1" applyBorder="1" applyAlignment="1">
      <alignment horizontal="center" wrapText="1"/>
    </xf>
    <xf numFmtId="0" fontId="86" fillId="25" borderId="30" xfId="0" applyFont="1" applyFill="1" applyBorder="1" applyAlignment="1">
      <alignment horizontal="center" vertical="center" wrapText="1"/>
    </xf>
    <xf numFmtId="0" fontId="86" fillId="25" borderId="0" xfId="0" applyFont="1" applyFill="1" applyAlignment="1">
      <alignment horizontal="center" vertical="center" wrapText="1"/>
    </xf>
    <xf numFmtId="0" fontId="89" fillId="25" borderId="31" xfId="0" applyFont="1" applyFill="1" applyBorder="1" applyAlignment="1">
      <alignment horizontal="center" wrapText="1"/>
    </xf>
    <xf numFmtId="0" fontId="87" fillId="25" borderId="31" xfId="0" applyFont="1" applyFill="1" applyBorder="1" applyAlignment="1">
      <alignment horizontal="center"/>
    </xf>
    <xf numFmtId="0" fontId="87" fillId="25" borderId="0" xfId="0" applyFont="1" applyFill="1" applyAlignment="1">
      <alignment horizontal="center"/>
    </xf>
    <xf numFmtId="0" fontId="86" fillId="25" borderId="11" xfId="0" applyFont="1" applyFill="1" applyBorder="1" applyAlignment="1">
      <alignment horizontal="center" vertical="center" wrapText="1"/>
    </xf>
    <xf numFmtId="0" fontId="89" fillId="25" borderId="11" xfId="0" applyFont="1" applyFill="1" applyBorder="1" applyAlignment="1">
      <alignment horizontal="center" wrapText="1"/>
    </xf>
    <xf numFmtId="0" fontId="97" fillId="31" borderId="30" xfId="0" applyFont="1" applyFill="1" applyBorder="1" applyAlignment="1">
      <alignment horizontal="center" vertical="center" wrapText="1"/>
    </xf>
    <xf numFmtId="0" fontId="97" fillId="31" borderId="0" xfId="0" applyFont="1" applyFill="1" applyAlignment="1">
      <alignment horizontal="center" vertical="center" wrapText="1"/>
    </xf>
    <xf numFmtId="0" fontId="97" fillId="31" borderId="11" xfId="0" applyFont="1" applyFill="1" applyBorder="1" applyAlignment="1">
      <alignment horizontal="center" vertical="center" wrapText="1"/>
    </xf>
    <xf numFmtId="0" fontId="50" fillId="31" borderId="30" xfId="0" applyFont="1" applyFill="1" applyBorder="1" applyAlignment="1">
      <alignment horizontal="center" wrapText="1"/>
    </xf>
    <xf numFmtId="0" fontId="50" fillId="31" borderId="34" xfId="0" applyFont="1" applyFill="1" applyBorder="1" applyAlignment="1">
      <alignment horizontal="center" wrapText="1"/>
    </xf>
    <xf numFmtId="0" fontId="108" fillId="33" borderId="30" xfId="0" applyFont="1" applyFill="1" applyBorder="1" applyAlignment="1">
      <alignment horizontal="center" vertical="center" wrapText="1"/>
    </xf>
    <xf numFmtId="0" fontId="108" fillId="33" borderId="0" xfId="0" applyFont="1" applyFill="1" applyAlignment="1">
      <alignment horizontal="center" vertical="center" wrapText="1"/>
    </xf>
    <xf numFmtId="0" fontId="108" fillId="33" borderId="30" xfId="0" applyFont="1" applyFill="1" applyBorder="1" applyAlignment="1">
      <alignment horizontal="center" wrapText="1"/>
    </xf>
    <xf numFmtId="0" fontId="108" fillId="33" borderId="0" xfId="0" applyFont="1" applyFill="1" applyAlignment="1">
      <alignment horizontal="center" wrapText="1"/>
    </xf>
    <xf numFmtId="0" fontId="109" fillId="33" borderId="0" xfId="0" applyFont="1" applyFill="1" applyAlignment="1">
      <alignment horizontal="center" wrapText="1"/>
    </xf>
    <xf numFmtId="0" fontId="109" fillId="33" borderId="51" xfId="0" applyFont="1" applyFill="1" applyBorder="1" applyAlignment="1">
      <alignment horizontal="center" wrapText="1"/>
    </xf>
    <xf numFmtId="0" fontId="109" fillId="33" borderId="30" xfId="0" applyFont="1" applyFill="1" applyBorder="1" applyAlignment="1">
      <alignment horizontal="center" wrapText="1"/>
    </xf>
    <xf numFmtId="0" fontId="48" fillId="31" borderId="30" xfId="0" applyFont="1" applyFill="1" applyBorder="1" applyAlignment="1">
      <alignment horizontal="center" wrapText="1"/>
    </xf>
    <xf numFmtId="0" fontId="48" fillId="31" borderId="34" xfId="0" applyFont="1" applyFill="1" applyBorder="1" applyAlignment="1">
      <alignment horizontal="center" wrapText="1"/>
    </xf>
    <xf numFmtId="0" fontId="48" fillId="31" borderId="50" xfId="0" applyFont="1" applyFill="1" applyBorder="1" applyAlignment="1">
      <alignment horizontal="center" wrapText="1"/>
    </xf>
    <xf numFmtId="0" fontId="48" fillId="31" borderId="11" xfId="0" applyFont="1" applyFill="1" applyBorder="1" applyAlignment="1">
      <alignment horizontal="center" wrapText="1"/>
    </xf>
    <xf numFmtId="0" fontId="97" fillId="31" borderId="30" xfId="0" applyFont="1" applyFill="1" applyBorder="1" applyAlignment="1">
      <alignment horizontal="center" wrapText="1"/>
    </xf>
    <xf numFmtId="0" fontId="97" fillId="31" borderId="0" xfId="0" applyFont="1" applyFill="1" applyAlignment="1">
      <alignment horizontal="center" wrapText="1"/>
    </xf>
    <xf numFmtId="0" fontId="48" fillId="31" borderId="41" xfId="0" applyFont="1" applyFill="1" applyBorder="1" applyAlignment="1">
      <alignment horizontal="center" wrapText="1"/>
    </xf>
    <xf numFmtId="0" fontId="110" fillId="33" borderId="30" xfId="0" applyFont="1" applyFill="1" applyBorder="1" applyAlignment="1">
      <alignment horizontal="center"/>
    </xf>
    <xf numFmtId="0" fontId="110" fillId="33" borderId="0" xfId="0" applyFont="1" applyFill="1" applyAlignment="1">
      <alignment horizontal="center"/>
    </xf>
    <xf numFmtId="0" fontId="90" fillId="22" borderId="0" xfId="0" applyFont="1" applyFill="1" applyAlignment="1">
      <alignment horizontal="center" vertical="center" wrapText="1"/>
    </xf>
    <xf numFmtId="0" fontId="90" fillId="22" borderId="11" xfId="0" applyFont="1" applyFill="1" applyBorder="1" applyAlignment="1">
      <alignment horizontal="center" vertical="center" wrapText="1"/>
    </xf>
    <xf numFmtId="0" fontId="142" fillId="33" borderId="11" xfId="0" applyFont="1" applyFill="1" applyBorder="1" applyAlignment="1">
      <alignment horizontal="center" vertical="center" wrapText="1"/>
    </xf>
    <xf numFmtId="0" fontId="142" fillId="33" borderId="17" xfId="0" applyFont="1" applyFill="1" applyBorder="1" applyAlignment="1">
      <alignment horizontal="center" vertical="center" wrapText="1"/>
    </xf>
    <xf numFmtId="0" fontId="141" fillId="31" borderId="11" xfId="0" applyFont="1" applyFill="1" applyBorder="1" applyAlignment="1">
      <alignment horizontal="center" vertical="center" wrapText="1"/>
    </xf>
    <xf numFmtId="0" fontId="141" fillId="31" borderId="17" xfId="0" applyFont="1" applyFill="1" applyBorder="1" applyAlignment="1">
      <alignment horizontal="center" vertical="center" wrapText="1"/>
    </xf>
    <xf numFmtId="0" fontId="105" fillId="33" borderId="30" xfId="0" applyFont="1" applyFill="1" applyBorder="1" applyAlignment="1">
      <alignment horizontal="center" vertical="center" wrapText="1"/>
    </xf>
    <xf numFmtId="0" fontId="105" fillId="33" borderId="0" xfId="0" applyFont="1" applyFill="1" applyAlignment="1">
      <alignment horizontal="center" vertical="center" wrapText="1"/>
    </xf>
    <xf numFmtId="0" fontId="50" fillId="31" borderId="30" xfId="0" applyFont="1" applyFill="1" applyBorder="1" applyAlignment="1">
      <alignment horizontal="center"/>
    </xf>
    <xf numFmtId="0" fontId="50" fillId="31" borderId="0" xfId="0" applyFont="1" applyFill="1" applyAlignment="1">
      <alignment horizontal="center"/>
    </xf>
    <xf numFmtId="0" fontId="48" fillId="31" borderId="43" xfId="0" applyFont="1" applyFill="1" applyBorder="1" applyAlignment="1">
      <alignment horizontal="center" wrapText="1"/>
    </xf>
    <xf numFmtId="0" fontId="48" fillId="31" borderId="0" xfId="0" applyFont="1" applyFill="1" applyAlignment="1">
      <alignment horizontal="center" wrapText="1"/>
    </xf>
    <xf numFmtId="1" fontId="90" fillId="22" borderId="0" xfId="0" applyNumberFormat="1" applyFont="1" applyFill="1" applyAlignment="1">
      <alignment horizontal="center" vertical="center" wrapText="1"/>
    </xf>
    <xf numFmtId="1" fontId="10" fillId="2" borderId="0" xfId="0" applyNumberFormat="1" applyFont="1" applyFill="1" applyAlignment="1">
      <alignment horizontal="center" vertical="center"/>
    </xf>
    <xf numFmtId="1" fontId="71" fillId="2" borderId="0" xfId="0" applyNumberFormat="1" applyFont="1" applyFill="1" applyAlignment="1">
      <alignment horizontal="center" vertical="center"/>
    </xf>
    <xf numFmtId="1" fontId="17" fillId="2" borderId="0" xfId="0" applyNumberFormat="1" applyFont="1" applyFill="1" applyAlignment="1">
      <alignment horizontal="center" vertical="center"/>
    </xf>
    <xf numFmtId="1" fontId="11" fillId="2" borderId="0" xfId="0" applyNumberFormat="1" applyFont="1" applyFill="1" applyAlignment="1">
      <alignment horizontal="center" vertical="center"/>
    </xf>
    <xf numFmtId="0" fontId="63" fillId="2" borderId="0" xfId="0" applyFont="1" applyFill="1" applyAlignment="1">
      <alignment horizontal="center" vertical="center"/>
    </xf>
    <xf numFmtId="0" fontId="17" fillId="2" borderId="0" xfId="0" applyFont="1" applyFill="1" applyAlignment="1">
      <alignment horizontal="center" vertical="center" wrapText="1"/>
    </xf>
    <xf numFmtId="0" fontId="36" fillId="2" borderId="0" xfId="0" applyFont="1" applyFill="1" applyAlignment="1">
      <alignment horizontal="center" vertical="center"/>
    </xf>
    <xf numFmtId="1" fontId="11" fillId="2" borderId="0" xfId="1" applyNumberFormat="1" applyFont="1" applyFill="1" applyBorder="1" applyAlignment="1">
      <alignment horizontal="center" vertical="center"/>
    </xf>
    <xf numFmtId="0" fontId="144" fillId="18" borderId="11" xfId="0" applyFont="1" applyFill="1" applyBorder="1" applyAlignment="1">
      <alignment horizontal="center" vertical="center" wrapText="1"/>
    </xf>
    <xf numFmtId="0" fontId="144" fillId="18" borderId="17" xfId="0" applyFont="1" applyFill="1" applyBorder="1" applyAlignment="1">
      <alignment horizontal="center" vertical="center" wrapText="1"/>
    </xf>
    <xf numFmtId="0" fontId="121" fillId="18" borderId="31" xfId="0" applyFont="1" applyFill="1" applyBorder="1" applyAlignment="1">
      <alignment horizontal="center" wrapText="1"/>
    </xf>
    <xf numFmtId="0" fontId="121" fillId="18" borderId="0" xfId="0" applyFont="1" applyFill="1" applyAlignment="1">
      <alignment horizontal="center" wrapText="1"/>
    </xf>
    <xf numFmtId="0" fontId="180" fillId="17" borderId="11" xfId="0" applyFont="1" applyFill="1" applyBorder="1" applyAlignment="1">
      <alignment horizontal="center" vertical="center" wrapText="1"/>
    </xf>
    <xf numFmtId="0" fontId="180" fillId="17" borderId="17" xfId="0" applyFont="1" applyFill="1" applyBorder="1" applyAlignment="1">
      <alignment horizontal="center" vertical="center" wrapText="1"/>
    </xf>
    <xf numFmtId="0" fontId="176" fillId="17" borderId="30" xfId="0" applyFont="1" applyFill="1" applyBorder="1" applyAlignment="1">
      <alignment horizontal="center" vertical="center" wrapText="1"/>
    </xf>
    <xf numFmtId="0" fontId="176" fillId="17" borderId="0" xfId="0" applyFont="1" applyFill="1" applyAlignment="1">
      <alignment horizontal="center" vertical="center" wrapText="1"/>
    </xf>
    <xf numFmtId="0" fontId="89" fillId="25" borderId="30" xfId="0" applyFont="1" applyFill="1" applyBorder="1" applyAlignment="1">
      <alignment horizontal="center" vertical="center" wrapText="1"/>
    </xf>
    <xf numFmtId="0" fontId="89" fillId="25" borderId="0" xfId="0" applyFont="1" applyFill="1" applyAlignment="1">
      <alignment horizontal="center" vertical="center" wrapText="1"/>
    </xf>
    <xf numFmtId="0" fontId="89" fillId="25" borderId="0" xfId="0" applyFont="1" applyFill="1" applyAlignment="1">
      <alignment horizontal="center" wrapText="1"/>
    </xf>
    <xf numFmtId="0" fontId="89" fillId="25" borderId="24" xfId="0" applyFont="1" applyFill="1" applyBorder="1" applyAlignment="1">
      <alignment horizontal="center" vertical="center" wrapText="1"/>
    </xf>
    <xf numFmtId="9" fontId="17" fillId="2" borderId="0" xfId="1" applyFont="1" applyFill="1" applyBorder="1" applyAlignment="1">
      <alignment horizontal="center" vertical="center"/>
    </xf>
    <xf numFmtId="0" fontId="113" fillId="16" borderId="30" xfId="0" applyFont="1" applyFill="1" applyBorder="1" applyAlignment="1">
      <alignment horizontal="center" wrapText="1"/>
    </xf>
    <xf numFmtId="0" fontId="113" fillId="16" borderId="24" xfId="0" applyFont="1" applyFill="1" applyBorder="1" applyAlignment="1">
      <alignment horizontal="center" wrapText="1"/>
    </xf>
    <xf numFmtId="0" fontId="113" fillId="16" borderId="31" xfId="0" applyFont="1" applyFill="1" applyBorder="1" applyAlignment="1">
      <alignment horizontal="center" wrapText="1"/>
    </xf>
    <xf numFmtId="0" fontId="113" fillId="16" borderId="0" xfId="0" applyFont="1" applyFill="1" applyAlignment="1">
      <alignment horizontal="center" wrapText="1"/>
    </xf>
    <xf numFmtId="0" fontId="143" fillId="16" borderId="11" xfId="0" applyFont="1" applyFill="1" applyBorder="1" applyAlignment="1">
      <alignment horizontal="center" vertical="center" wrapText="1"/>
    </xf>
    <xf numFmtId="0" fontId="143" fillId="16" borderId="17" xfId="0" applyFont="1" applyFill="1" applyBorder="1" applyAlignment="1">
      <alignment horizontal="center" vertical="center" wrapText="1"/>
    </xf>
    <xf numFmtId="0" fontId="113" fillId="16" borderId="30" xfId="0" applyFont="1" applyFill="1" applyBorder="1" applyAlignment="1">
      <alignment horizontal="center" vertical="center" wrapText="1"/>
    </xf>
    <xf numFmtId="0" fontId="113" fillId="16" borderId="0" xfId="0" applyFont="1" applyFill="1" applyAlignment="1">
      <alignment horizontal="center" vertical="center" wrapText="1"/>
    </xf>
    <xf numFmtId="0" fontId="113" fillId="16" borderId="24" xfId="0" applyFont="1" applyFill="1" applyBorder="1" applyAlignment="1">
      <alignment horizontal="center" vertical="center" wrapText="1"/>
    </xf>
    <xf numFmtId="0" fontId="176" fillId="17" borderId="77" xfId="0" applyFont="1" applyFill="1" applyBorder="1" applyAlignment="1">
      <alignment horizontal="center" wrapText="1"/>
    </xf>
    <xf numFmtId="0" fontId="176" fillId="17" borderId="78" xfId="0" applyFont="1" applyFill="1" applyBorder="1" applyAlignment="1">
      <alignment horizontal="center" wrapText="1"/>
    </xf>
    <xf numFmtId="0" fontId="176" fillId="17" borderId="31" xfId="0" applyFont="1" applyFill="1" applyBorder="1" applyAlignment="1">
      <alignment horizontal="center" wrapText="1"/>
    </xf>
    <xf numFmtId="0" fontId="176" fillId="17" borderId="24" xfId="0" applyFont="1" applyFill="1" applyBorder="1" applyAlignment="1">
      <alignment horizontal="center" wrapText="1"/>
    </xf>
    <xf numFmtId="0" fontId="176" fillId="17" borderId="0" xfId="0" applyFont="1" applyFill="1" applyAlignment="1">
      <alignment horizontal="center" wrapText="1"/>
    </xf>
    <xf numFmtId="0" fontId="121" fillId="18" borderId="30" xfId="0" applyFont="1" applyFill="1" applyBorder="1" applyAlignment="1">
      <alignment horizontal="center" vertical="center" wrapText="1"/>
    </xf>
    <xf numFmtId="0" fontId="121" fillId="18" borderId="0" xfId="0" applyFont="1" applyFill="1" applyAlignment="1">
      <alignment horizontal="center" vertical="center" wrapText="1"/>
    </xf>
    <xf numFmtId="0" fontId="121" fillId="18" borderId="24" xfId="0" applyFont="1" applyFill="1" applyBorder="1" applyAlignment="1">
      <alignment horizontal="center" wrapText="1"/>
    </xf>
    <xf numFmtId="0" fontId="121" fillId="18" borderId="5" xfId="0" applyFont="1" applyFill="1" applyBorder="1" applyAlignment="1">
      <alignment horizontal="center" wrapText="1"/>
    </xf>
    <xf numFmtId="0" fontId="121" fillId="18" borderId="30" xfId="0" applyFont="1" applyFill="1" applyBorder="1" applyAlignment="1">
      <alignment horizontal="center" wrapText="1"/>
    </xf>
    <xf numFmtId="0" fontId="121" fillId="18" borderId="24" xfId="0" applyFont="1" applyFill="1" applyBorder="1" applyAlignment="1">
      <alignment horizontal="center" vertical="center" wrapText="1"/>
    </xf>
    <xf numFmtId="0" fontId="145" fillId="19" borderId="11" xfId="0" applyFont="1" applyFill="1" applyBorder="1" applyAlignment="1">
      <alignment horizontal="center" vertical="center" wrapText="1"/>
    </xf>
    <xf numFmtId="0" fontId="145" fillId="19" borderId="17" xfId="0" applyFont="1" applyFill="1" applyBorder="1" applyAlignment="1">
      <alignment horizontal="center" vertical="center" wrapText="1"/>
    </xf>
    <xf numFmtId="0" fontId="124" fillId="19" borderId="30" xfId="0" applyFont="1" applyFill="1" applyBorder="1" applyAlignment="1">
      <alignment horizontal="center" vertical="center" wrapText="1"/>
    </xf>
    <xf numFmtId="0" fontId="124" fillId="19" borderId="0" xfId="0" applyFont="1" applyFill="1" applyAlignment="1">
      <alignment horizontal="center" vertical="center" wrapText="1"/>
    </xf>
    <xf numFmtId="0" fontId="124" fillId="19" borderId="30" xfId="0" applyFont="1" applyFill="1" applyBorder="1" applyAlignment="1">
      <alignment horizontal="center" wrapText="1"/>
    </xf>
    <xf numFmtId="0" fontId="124" fillId="19" borderId="24" xfId="0" applyFont="1" applyFill="1" applyBorder="1" applyAlignment="1">
      <alignment horizontal="center" wrapText="1"/>
    </xf>
    <xf numFmtId="0" fontId="124" fillId="19" borderId="31" xfId="0" applyFont="1" applyFill="1" applyBorder="1" applyAlignment="1">
      <alignment horizontal="center" wrapText="1"/>
    </xf>
    <xf numFmtId="0" fontId="124" fillId="19" borderId="0" xfId="0" applyFont="1" applyFill="1" applyAlignment="1">
      <alignment horizontal="center" wrapText="1"/>
    </xf>
    <xf numFmtId="0" fontId="146" fillId="35" borderId="11" xfId="0" applyFont="1" applyFill="1" applyBorder="1" applyAlignment="1">
      <alignment horizontal="center" vertical="center" wrapText="1"/>
    </xf>
    <xf numFmtId="0" fontId="146" fillId="35" borderId="17" xfId="0" applyFont="1" applyFill="1" applyBorder="1" applyAlignment="1">
      <alignment horizontal="center" vertical="center" wrapText="1"/>
    </xf>
    <xf numFmtId="0" fontId="128" fillId="35" borderId="30" xfId="0" applyFont="1" applyFill="1" applyBorder="1" applyAlignment="1">
      <alignment horizontal="center" vertical="center" wrapText="1"/>
    </xf>
    <xf numFmtId="0" fontId="128" fillId="35" borderId="0" xfId="0" applyFont="1" applyFill="1" applyAlignment="1">
      <alignment horizontal="center" vertical="center" wrapText="1"/>
    </xf>
    <xf numFmtId="0" fontId="128" fillId="35" borderId="24" xfId="0" applyFont="1" applyFill="1" applyBorder="1" applyAlignment="1">
      <alignment horizontal="center" vertical="center" wrapText="1"/>
    </xf>
    <xf numFmtId="0" fontId="128" fillId="35" borderId="0" xfId="0" applyFont="1" applyFill="1" applyAlignment="1">
      <alignment horizontal="center" wrapText="1"/>
    </xf>
    <xf numFmtId="0" fontId="128" fillId="35" borderId="24" xfId="0" applyFont="1" applyFill="1" applyBorder="1" applyAlignment="1">
      <alignment horizontal="center" wrapText="1"/>
    </xf>
    <xf numFmtId="0" fontId="128" fillId="35" borderId="31" xfId="0" applyFont="1" applyFill="1" applyBorder="1" applyAlignment="1">
      <alignment horizontal="center" wrapText="1"/>
    </xf>
    <xf numFmtId="0" fontId="128" fillId="35" borderId="30" xfId="0" applyFont="1" applyFill="1" applyBorder="1" applyAlignment="1">
      <alignment horizontal="center" wrapText="1"/>
    </xf>
    <xf numFmtId="0" fontId="147" fillId="36" borderId="11" xfId="0" applyFont="1" applyFill="1" applyBorder="1" applyAlignment="1">
      <alignment horizontal="center" vertical="center" wrapText="1"/>
    </xf>
    <xf numFmtId="0" fontId="147" fillId="36" borderId="17" xfId="0" applyFont="1" applyFill="1" applyBorder="1" applyAlignment="1">
      <alignment horizontal="center" vertical="center" wrapText="1"/>
    </xf>
    <xf numFmtId="0" fontId="75" fillId="36" borderId="30" xfId="0" applyFont="1" applyFill="1" applyBorder="1" applyAlignment="1">
      <alignment horizontal="center" vertical="center" wrapText="1"/>
    </xf>
    <xf numFmtId="0" fontId="75" fillId="36" borderId="0" xfId="0" applyFont="1" applyFill="1" applyAlignment="1">
      <alignment horizontal="center" vertical="center" wrapText="1"/>
    </xf>
    <xf numFmtId="0" fontId="75" fillId="36" borderId="0" xfId="0" applyFont="1" applyFill="1" applyAlignment="1">
      <alignment horizontal="center" wrapText="1"/>
    </xf>
    <xf numFmtId="0" fontId="75" fillId="36" borderId="24" xfId="0" applyFont="1" applyFill="1" applyBorder="1" applyAlignment="1">
      <alignment horizontal="center" wrapText="1"/>
    </xf>
    <xf numFmtId="0" fontId="75" fillId="36" borderId="31" xfId="0" applyFont="1" applyFill="1" applyBorder="1" applyAlignment="1">
      <alignment horizontal="center" wrapText="1"/>
    </xf>
    <xf numFmtId="0" fontId="75" fillId="36" borderId="30" xfId="0" applyFont="1" applyFill="1" applyBorder="1" applyAlignment="1">
      <alignment horizontal="center" wrapText="1"/>
    </xf>
    <xf numFmtId="0" fontId="21" fillId="7" borderId="0" xfId="0" applyFont="1" applyFill="1" applyAlignment="1">
      <alignment horizontal="left" vertical="center" wrapText="1"/>
    </xf>
    <xf numFmtId="0" fontId="9" fillId="7" borderId="100" xfId="0" applyFont="1" applyFill="1" applyBorder="1" applyAlignment="1">
      <alignment horizontal="left" vertical="center" wrapText="1"/>
    </xf>
    <xf numFmtId="0" fontId="9" fillId="7" borderId="0" xfId="0" applyFont="1" applyFill="1" applyAlignment="1">
      <alignment horizontal="left" vertical="center" wrapText="1"/>
    </xf>
  </cellXfs>
  <cellStyles count="3">
    <cellStyle name="Comma [0]" xfId="2" builtinId="6"/>
    <cellStyle name="Normal" xfId="0" builtinId="0"/>
    <cellStyle name="Percent" xfId="1" builtinId="5"/>
  </cellStyles>
  <dxfs count="91">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006100"/>
      </font>
      <fill>
        <patternFill>
          <bgColor rgb="FFC6EFCE"/>
        </patternFill>
      </fill>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499984740745262"/>
      </font>
      <numFmt numFmtId="1" formatCode="0"/>
    </dxf>
    <dxf>
      <font>
        <color theme="0" tint="-0.499984740745262"/>
      </font>
      <numFmt numFmtId="1" formatCode="0"/>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theme="0" tint="-0.499984740745262"/>
      </font>
      <numFmt numFmtId="1" formatCode="0"/>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b val="0"/>
        <i/>
        <color theme="0" tint="-0.499984740745262"/>
      </font>
      <numFmt numFmtId="1" formatCode="0"/>
    </dxf>
    <dxf>
      <font>
        <b val="0"/>
        <i/>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s>
  <tableStyles count="0" defaultTableStyle="TableStyleMedium2" defaultPivotStyle="PivotStyleLight16"/>
  <colors>
    <mruColors>
      <color rgb="FF66D7C7"/>
      <color rgb="FFCCF2EC"/>
      <color rgb="FF80DED1"/>
      <color rgb="FF000000"/>
      <color rgb="FF855092"/>
      <color rgb="FFED7D31"/>
      <color rgb="FF68A200"/>
      <color rgb="FF5E9FE8"/>
      <color rgb="FFFFBB8D"/>
      <color rgb="FF99E5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1.xml"/><Relationship Id="rId1" Type="http://schemas.microsoft.com/office/2011/relationships/chartStyle" Target="style31.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2.xml"/><Relationship Id="rId1" Type="http://schemas.microsoft.com/office/2011/relationships/chartStyle" Target="style32.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3.xml"/><Relationship Id="rId1" Type="http://schemas.microsoft.com/office/2011/relationships/chartStyle" Target="style33.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4.xml"/><Relationship Id="rId1" Type="http://schemas.microsoft.com/office/2011/relationships/chartStyle" Target="style34.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5.xml"/><Relationship Id="rId1" Type="http://schemas.microsoft.com/office/2011/relationships/chartStyle" Target="style35.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6.xml"/><Relationship Id="rId1" Type="http://schemas.microsoft.com/office/2011/relationships/chartStyle" Target="style36.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37.xml"/><Relationship Id="rId1" Type="http://schemas.microsoft.com/office/2011/relationships/chartStyle" Target="style37.xml"/></Relationships>
</file>

<file path=xl/charts/_rels/chart40.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1.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2.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3.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4.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5.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6.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7.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8.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9.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48.xml"/><Relationship Id="rId1" Type="http://schemas.microsoft.com/office/2011/relationships/chartStyle" Target="style48.xml"/><Relationship Id="rId4" Type="http://schemas.openxmlformats.org/officeDocument/2006/relationships/chartUserShapes" Target="../drawings/drawing12.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49.xml"/><Relationship Id="rId1" Type="http://schemas.microsoft.com/office/2011/relationships/chartStyle" Target="style49.xml"/></Relationships>
</file>

<file path=xl/charts/_rels/chart53.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51.xml"/><Relationship Id="rId1" Type="http://schemas.microsoft.com/office/2011/relationships/chartStyle" Target="style51.xml"/></Relationships>
</file>

<file path=xl/charts/_rels/chart55.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6.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7.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55.xml"/><Relationship Id="rId1" Type="http://schemas.microsoft.com/office/2011/relationships/chartStyle" Target="style55.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56.xml"/><Relationship Id="rId1" Type="http://schemas.microsoft.com/office/2011/relationships/chartStyle" Target="style56.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57.xml"/><Relationship Id="rId1" Type="http://schemas.microsoft.com/office/2011/relationships/chartStyle" Target="style57.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58.xml"/><Relationship Id="rId1" Type="http://schemas.microsoft.com/office/2011/relationships/chartStyle" Target="style58.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59.xml"/><Relationship Id="rId1" Type="http://schemas.microsoft.com/office/2011/relationships/chartStyle" Target="style59.xml"/></Relationships>
</file>

<file path=xl/charts/_rels/chart63.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4.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5.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6.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8.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9.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70.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71.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72.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69.xml"/><Relationship Id="rId1" Type="http://schemas.microsoft.com/office/2011/relationships/chartStyle" Target="style69.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70.xml"/><Relationship Id="rId1" Type="http://schemas.microsoft.com/office/2011/relationships/chartStyle" Target="style70.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71.xml"/><Relationship Id="rId1" Type="http://schemas.microsoft.com/office/2011/relationships/chartStyle" Target="style71.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72.xml"/><Relationship Id="rId1" Type="http://schemas.microsoft.com/office/2011/relationships/chartStyle" Target="style72.xml"/></Relationships>
</file>

<file path=xl/charts/_rels/chart81.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74.xml"/><Relationship Id="rId1" Type="http://schemas.microsoft.com/office/2011/relationships/chartStyle" Target="style74.xml"/></Relationships>
</file>

<file path=xl/charts/_rels/chart8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75.xml"/><Relationship Id="rId1" Type="http://schemas.microsoft.com/office/2011/relationships/chartStyle" Target="style75.xml"/><Relationship Id="rId4" Type="http://schemas.openxmlformats.org/officeDocument/2006/relationships/chartUserShapes" Target="../drawings/drawing25.xml"/></Relationships>
</file>

<file path=xl/charts/_rels/chart8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76.xml"/><Relationship Id="rId1" Type="http://schemas.microsoft.com/office/2011/relationships/chartStyle" Target="style76.xml"/><Relationship Id="rId4" Type="http://schemas.openxmlformats.org/officeDocument/2006/relationships/chartUserShapes" Target="../drawings/drawing26.xml"/></Relationships>
</file>

<file path=xl/charts/_rels/chart8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7.xml"/><Relationship Id="rId1" Type="http://schemas.microsoft.com/office/2011/relationships/chartStyle" Target="style77.xml"/><Relationship Id="rId4" Type="http://schemas.openxmlformats.org/officeDocument/2006/relationships/chartUserShapes" Target="../drawings/drawing27.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78.xml"/><Relationship Id="rId1" Type="http://schemas.microsoft.com/office/2011/relationships/chartStyle" Target="style78.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79.xml"/><Relationship Id="rId1" Type="http://schemas.microsoft.com/office/2011/relationships/chartStyle" Target="style79.xml"/></Relationships>
</file>

<file path=xl/charts/_rels/chart89.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90.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82.xml"/><Relationship Id="rId1" Type="http://schemas.microsoft.com/office/2011/relationships/chartStyle" Target="style82.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83.xml"/><Relationship Id="rId1" Type="http://schemas.microsoft.com/office/2011/relationships/chartStyle" Target="style83.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84.xml"/><Relationship Id="rId1" Type="http://schemas.microsoft.com/office/2011/relationships/chartStyle" Target="style84.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85.xml"/><Relationship Id="rId1" Type="http://schemas.microsoft.com/office/2011/relationships/chartStyle" Target="style85.xml"/></Relationships>
</file>

<file path=xl/charts/_rels/chart95.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96.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97.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98.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106.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107.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108.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109.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110.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111.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96.xml"/><Relationship Id="rId1" Type="http://schemas.microsoft.com/office/2011/relationships/chartStyle" Target="style96.xml"/><Relationship Id="rId4" Type="http://schemas.openxmlformats.org/officeDocument/2006/relationships/chartUserShapes" Target="../drawings/drawing34.xml"/></Relationships>
</file>

<file path=xl/charts/_rels/chart115.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116.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117.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18.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23.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25.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02.xml"/><Relationship Id="rId1" Type="http://schemas.microsoft.com/office/2011/relationships/chartStyle" Target="style102.xml"/><Relationship Id="rId4" Type="http://schemas.openxmlformats.org/officeDocument/2006/relationships/chartUserShapes" Target="../drawings/drawing35.xml"/></Relationships>
</file>

<file path=xl/charts/_rels/chart126.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4.xml"/><Relationship Id="rId1" Type="http://schemas.microsoft.com/office/2011/relationships/chartStyle" Target="style104.xml"/><Relationship Id="rId4" Type="http://schemas.openxmlformats.org/officeDocument/2006/relationships/chartUserShapes" Target="../drawings/drawing36.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105.xml"/><Relationship Id="rId1" Type="http://schemas.microsoft.com/office/2011/relationships/chartStyle" Target="style105.xml"/></Relationships>
</file>

<file path=xl/charts/_rels/chart129.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30.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33.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34.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35.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37.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38.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39.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40.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41.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5.xml"/><Relationship Id="rId1" Type="http://schemas.microsoft.com/office/2011/relationships/chartStyle" Target="style115.xml"/><Relationship Id="rId4" Type="http://schemas.openxmlformats.org/officeDocument/2006/relationships/chartUserShapes" Target="../drawings/drawing38.xml"/></Relationships>
</file>

<file path=xl/charts/_rels/chart142.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43.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44.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119.xml"/><Relationship Id="rId1" Type="http://schemas.microsoft.com/office/2011/relationships/chartStyle" Target="style119.xml"/></Relationships>
</file>

<file path=xl/charts/_rels/chart146.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47.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48.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49.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50.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51.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52.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53.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54.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839713541666665E-2"/>
          <c:y val="2.4224074074074082E-2"/>
          <c:w val="0.63443971786401709"/>
          <c:h val="0.88323849364409945"/>
        </c:manualLayout>
      </c:layout>
      <c:barChart>
        <c:barDir val="col"/>
        <c:grouping val="stacked"/>
        <c:varyColors val="0"/>
        <c:ser>
          <c:idx val="3"/>
          <c:order val="0"/>
          <c:tx>
            <c:strRef>
              <c:f>'Talnagögn | Numerical Data'!$E$267</c:f>
              <c:strCache>
                <c:ptCount val="1"/>
                <c:pt idx="0">
                  <c:v>Landnotkun</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3-6D71-4357-9735-C5D5919704FC}"/>
            </c:ext>
          </c:extLst>
        </c:ser>
        <c:ser>
          <c:idx val="2"/>
          <c:order val="1"/>
          <c:tx>
            <c:strRef>
              <c:f>'Talnagögn | Numerical Data'!$E$266</c:f>
              <c:strCache>
                <c:ptCount val="1"/>
                <c:pt idx="0">
                  <c:v>Samfélagslosun</c:v>
                </c:pt>
              </c:strCache>
            </c:strRef>
          </c:tx>
          <c:spPr>
            <a:solidFill>
              <a:srgbClr val="338DE9"/>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2-6D71-4357-9735-C5D5919704FC}"/>
            </c:ext>
          </c:extLst>
        </c:ser>
        <c:ser>
          <c:idx val="0"/>
          <c:order val="2"/>
          <c:tx>
            <c:strRef>
              <c:f>'Talnagögn | Numerical Data'!$E$264</c:f>
              <c:strCache>
                <c:ptCount val="1"/>
                <c:pt idx="0">
                  <c:v>ETS staðbundinn iðnaður</c:v>
                </c:pt>
              </c:strCache>
            </c:strRef>
          </c:tx>
          <c:spPr>
            <a:solidFill>
              <a:srgbClr val="FF7A64"/>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0-6D71-4357-9735-C5D5919704FC}"/>
            </c:ext>
          </c:extLst>
        </c:ser>
        <c:ser>
          <c:idx val="1"/>
          <c:order val="3"/>
          <c:tx>
            <c:strRef>
              <c:f>'Talnagögn | Numerical Data'!$E$265</c:f>
              <c:strCache>
                <c:ptCount val="1"/>
                <c:pt idx="0">
                  <c:v>Innanlandsflug (CO₂)</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extLst>
            <c:ext xmlns:c16="http://schemas.microsoft.com/office/drawing/2014/chart" uri="{C3380CC4-5D6E-409C-BE32-E72D297353CC}">
              <c16:uniqueId val="{00000001-6D71-4357-9735-C5D5919704FC}"/>
            </c:ext>
          </c:extLst>
        </c:ser>
        <c:dLbls>
          <c:showLegendKey val="0"/>
          <c:showVal val="0"/>
          <c:showCatName val="0"/>
          <c:showSerName val="0"/>
          <c:showPercent val="0"/>
          <c:showBubbleSize val="0"/>
        </c:dLbls>
        <c:gapWidth val="75"/>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4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202928486805832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5145677506763586"/>
          <c:y val="0.37800555741367431"/>
          <c:w val="0.20550413767085676"/>
          <c:h val="0.2439888851726514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462067241594796E-2"/>
          <c:y val="3.1571584669814787E-2"/>
          <c:w val="0.62862065186648941"/>
          <c:h val="0.88371080247645972"/>
        </c:manualLayout>
      </c:layout>
      <c:barChart>
        <c:barDir val="col"/>
        <c:grouping val="stacked"/>
        <c:varyColors val="0"/>
        <c:ser>
          <c:idx val="3"/>
          <c:order val="0"/>
          <c:tx>
            <c:strRef>
              <c:f>'Skuldbindingar | Obligations'!$AC$11</c:f>
              <c:strCache>
                <c:ptCount val="1"/>
                <c:pt idx="0">
                  <c:v>LULUCF</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9D7E-4E4E-B5F6-93F0DC31E60C}"/>
            </c:ext>
          </c:extLst>
        </c:ser>
        <c:ser>
          <c:idx val="2"/>
          <c:order val="1"/>
          <c:tx>
            <c:strRef>
              <c:f>'Talnagögn | Numerical Data'!$G$266</c:f>
              <c:strCache>
                <c:ptCount val="1"/>
                <c:pt idx="0">
                  <c:v>ESR</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9D7E-4E4E-B5F6-93F0DC31E60C}"/>
            </c:ext>
          </c:extLst>
        </c:ser>
        <c:ser>
          <c:idx val="0"/>
          <c:order val="2"/>
          <c:tx>
            <c:strRef>
              <c:f>'Talnagögn | Numerical Data'!$G$264</c:f>
              <c:strCache>
                <c:ptCount val="1"/>
                <c:pt idx="0">
                  <c:v>ETS Stationary Industries</c:v>
                </c:pt>
              </c:strCache>
            </c:strRef>
          </c:tx>
          <c:spPr>
            <a:solidFill>
              <a:srgbClr val="FF7A64"/>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9D7E-4E4E-B5F6-93F0DC31E60C}"/>
            </c:ext>
          </c:extLst>
        </c:ser>
        <c:ser>
          <c:idx val="1"/>
          <c:order val="3"/>
          <c:tx>
            <c:strRef>
              <c:f>'Talnagögn | Numerical Data'!$G$265</c:f>
              <c:strCache>
                <c:ptCount val="1"/>
                <c:pt idx="0">
                  <c:v>Domestic Aviation (CO₂)</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extLst>
            <c:ext xmlns:c16="http://schemas.microsoft.com/office/drawing/2014/chart" uri="{C3380CC4-5D6E-409C-BE32-E72D297353CC}">
              <c16:uniqueId val="{00000003-9D7E-4E4E-B5F6-93F0DC31E60C}"/>
            </c:ext>
          </c:extLst>
        </c:ser>
        <c:dLbls>
          <c:showLegendKey val="0"/>
          <c:showVal val="0"/>
          <c:showCatName val="0"/>
          <c:showSerName val="0"/>
          <c:showPercent val="0"/>
          <c:showBubbleSize val="0"/>
        </c:dLbls>
        <c:gapWidth val="75"/>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4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5.0090030585156729E-3"/>
              <c:y val="0.273995025836946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495990831621916"/>
          <c:y val="0.3579076304907437"/>
          <c:w val="0.2632435601352292"/>
          <c:h val="0.2841845094651728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000816216507084"/>
          <c:h val="0.8818801153092336"/>
        </c:manualLayout>
      </c:layout>
      <c:barChart>
        <c:barDir val="col"/>
        <c:grouping val="stacked"/>
        <c:varyColors val="0"/>
        <c:ser>
          <c:idx val="0"/>
          <c:order val="0"/>
          <c:tx>
            <c:strRef>
              <c:f>'Talnagögn | Numerical Data'!$E$284</c:f>
              <c:strCache>
                <c:ptCount val="1"/>
                <c:pt idx="0">
                  <c:v>Vegasamgöngur</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BE0F-4CBA-A232-2108802DC15A}"/>
            </c:ext>
          </c:extLst>
        </c:ser>
        <c:ser>
          <c:idx val="2"/>
          <c:order val="1"/>
          <c:tx>
            <c:strRef>
              <c:f>'Talnagögn | Numerical Data'!$E$286</c:f>
              <c:strCache>
                <c:ptCount val="1"/>
                <c:pt idx="0">
                  <c:v>Landbúnaður</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BE0F-4CBA-A232-2108802DC15A}"/>
            </c:ext>
          </c:extLst>
        </c:ser>
        <c:ser>
          <c:idx val="1"/>
          <c:order val="2"/>
          <c:tx>
            <c:strRef>
              <c:f>'Talnagögn | Numerical Data'!$E$285</c:f>
              <c:strCache>
                <c:ptCount val="1"/>
                <c:pt idx="0">
                  <c:v>Fiskiskip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BE0F-4CBA-A232-2108802DC15A}"/>
            </c:ext>
          </c:extLst>
        </c:ser>
        <c:ser>
          <c:idx val="3"/>
          <c:order val="3"/>
          <c:tx>
            <c:strRef>
              <c:f>'Talnagögn | Numerical Data'!$E$287</c:f>
              <c:strCache>
                <c:ptCount val="1"/>
                <c:pt idx="0">
                  <c:v>Urðun úrgangs</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BE0F-4CBA-A232-2108802DC15A}"/>
            </c:ext>
          </c:extLst>
        </c:ser>
        <c:ser>
          <c:idx val="5"/>
          <c:order val="4"/>
          <c:tx>
            <c:strRef>
              <c:f>'Talnagögn | Numerical Data'!$E$289</c:f>
              <c:strCache>
                <c:ptCount val="1"/>
                <c:pt idx="0">
                  <c:v>Jarðvarmavirkjanir</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BE0F-4CBA-A232-2108802DC15A}"/>
            </c:ext>
          </c:extLst>
        </c:ser>
        <c:ser>
          <c:idx val="4"/>
          <c:order val="5"/>
          <c:tx>
            <c:strRef>
              <c:f>'Talnagögn | Numerical Data'!$E$288</c:f>
              <c:strCache>
                <c:ptCount val="1"/>
                <c:pt idx="0">
                  <c:v>Kælibúnaður (F-gös)</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BE0F-4CBA-A232-2108802DC15A}"/>
            </c:ext>
          </c:extLst>
        </c:ser>
        <c:ser>
          <c:idx val="6"/>
          <c:order val="6"/>
          <c:tx>
            <c:strRef>
              <c:f>'Talnagögn | Numerical Data'!$E$290</c:f>
              <c:strCache>
                <c:ptCount val="1"/>
                <c:pt idx="0">
                  <c:v>Vélar og tæki</c:v>
                </c:pt>
              </c:strCache>
            </c:strRef>
          </c:tx>
          <c:spPr>
            <a:solidFill>
              <a:srgbClr val="0E547B"/>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BE0F-4CBA-A232-2108802DC15A}"/>
            </c:ext>
          </c:extLst>
        </c:ser>
        <c:ser>
          <c:idx val="7"/>
          <c:order val="7"/>
          <c:tx>
            <c:strRef>
              <c:f>'Talnagögn | Numerical Data'!$E$294</c:f>
              <c:strCache>
                <c:ptCount val="1"/>
                <c:pt idx="0">
                  <c:v>Önnur losun</c:v>
                </c:pt>
              </c:strCache>
            </c:strRef>
          </c:tx>
          <c:spPr>
            <a:solidFill>
              <a:srgbClr val="DED9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BE0F-4CBA-A232-2108802DC15A}"/>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ayout>
        <c:manualLayout>
          <c:xMode val="edge"/>
          <c:yMode val="edge"/>
          <c:x val="0.74196079545654559"/>
          <c:y val="0.20943597367115019"/>
          <c:w val="0.17979959697109749"/>
          <c:h val="0.5840433800719236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6719633568262E-2"/>
          <c:y val="3.3551653916010789E-2"/>
          <c:w val="0.86949249664252126"/>
          <c:h val="0.84532203203258294"/>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827F"/>
              </a:solidFill>
              <a:ln>
                <a:noFill/>
              </a:ln>
              <a:effectLst/>
            </c:spPr>
            <c:extLst>
              <c:ext xmlns:c16="http://schemas.microsoft.com/office/drawing/2014/chart" uri="{C3380CC4-5D6E-409C-BE32-E72D297353CC}">
                <c16:uniqueId val="{00000001-D674-4B38-B088-63DEC7EC7EEF}"/>
              </c:ext>
            </c:extLst>
          </c:dPt>
          <c:dPt>
            <c:idx val="1"/>
            <c:invertIfNegative val="0"/>
            <c:bubble3D val="0"/>
            <c:spPr>
              <a:solidFill>
                <a:srgbClr val="FFBB8D"/>
              </a:solidFill>
              <a:ln>
                <a:noFill/>
              </a:ln>
              <a:effectLst/>
            </c:spPr>
            <c:extLst>
              <c:ext xmlns:c16="http://schemas.microsoft.com/office/drawing/2014/chart" uri="{C3380CC4-5D6E-409C-BE32-E72D297353CC}">
                <c16:uniqueId val="{00000003-D674-4B38-B088-63DEC7EC7EEF}"/>
              </c:ext>
            </c:extLst>
          </c:dPt>
          <c:dPt>
            <c:idx val="2"/>
            <c:invertIfNegative val="0"/>
            <c:bubble3D val="0"/>
            <c:spPr>
              <a:solidFill>
                <a:srgbClr val="99E5DA"/>
              </a:solidFill>
              <a:ln>
                <a:noFill/>
              </a:ln>
              <a:effectLst/>
            </c:spPr>
            <c:extLst>
              <c:ext xmlns:c16="http://schemas.microsoft.com/office/drawing/2014/chart" uri="{C3380CC4-5D6E-409C-BE32-E72D297353CC}">
                <c16:uniqueId val="{00000005-D674-4B38-B088-63DEC7EC7EEF}"/>
              </c:ext>
            </c:extLst>
          </c:dPt>
          <c:dPt>
            <c:idx val="3"/>
            <c:invertIfNegative val="0"/>
            <c:bubble3D val="0"/>
            <c:spPr>
              <a:solidFill>
                <a:srgbClr val="5E9FE8"/>
              </a:solidFill>
              <a:ln>
                <a:noFill/>
              </a:ln>
              <a:effectLst/>
            </c:spPr>
            <c:extLst>
              <c:ext xmlns:c16="http://schemas.microsoft.com/office/drawing/2014/chart" uri="{C3380CC4-5D6E-409C-BE32-E72D297353CC}">
                <c16:uniqueId val="{00000007-D674-4B38-B088-63DEC7EC7EEF}"/>
              </c:ext>
            </c:extLst>
          </c:dPt>
          <c:dPt>
            <c:idx val="4"/>
            <c:invertIfNegative val="0"/>
            <c:bubble3D val="0"/>
            <c:spPr>
              <a:solidFill>
                <a:schemeClr val="tx1"/>
              </a:solidFill>
              <a:ln>
                <a:noFill/>
              </a:ln>
              <a:effectLst/>
            </c:spPr>
            <c:extLst>
              <c:ext xmlns:c16="http://schemas.microsoft.com/office/drawing/2014/chart" uri="{C3380CC4-5D6E-409C-BE32-E72D297353CC}">
                <c16:uniqueId val="{00000008-744A-40AB-970A-0C7FB3055105}"/>
              </c:ext>
            </c:extLst>
          </c:dPt>
          <c:cat>
            <c:strRef>
              <c:f>'Talnagögn | Numerical Data'!$G$336:$G$340</c:f>
              <c:strCache>
                <c:ptCount val="5"/>
                <c:pt idx="0">
                  <c:v>Forest Land</c:v>
                </c:pt>
                <c:pt idx="1">
                  <c:v>Cropland</c:v>
                </c:pt>
                <c:pt idx="2">
                  <c:v>Grassland</c:v>
                </c:pt>
                <c:pt idx="3">
                  <c:v>Wetlands</c:v>
                </c:pt>
                <c:pt idx="4">
                  <c:v>Other</c:v>
                </c:pt>
              </c:strCache>
            </c:strRef>
          </c:cat>
          <c:val>
            <c:numRef>
              <c:f>'Talnagögn | Numerical Data'!$AP$336:$AP$340</c:f>
              <c:numCache>
                <c:formatCode>0</c:formatCode>
                <c:ptCount val="5"/>
                <c:pt idx="0">
                  <c:v>-536.85907215301847</c:v>
                </c:pt>
                <c:pt idx="1">
                  <c:v>1634.6762937066721</c:v>
                </c:pt>
                <c:pt idx="2">
                  <c:v>5022.5767323179289</c:v>
                </c:pt>
                <c:pt idx="3">
                  <c:v>17.149517784685631</c:v>
                </c:pt>
                <c:pt idx="4">
                  <c:v>25.005070861629974</c:v>
                </c:pt>
              </c:numCache>
            </c:numRef>
          </c:val>
          <c:extLst>
            <c:ext xmlns:c16="http://schemas.microsoft.com/office/drawing/2014/chart" uri="{C3380CC4-5D6E-409C-BE32-E72D297353CC}">
              <c16:uniqueId val="{00000008-D674-4B38-B088-63DEC7EC7EEF}"/>
            </c:ext>
          </c:extLst>
        </c:ser>
        <c:dLbls>
          <c:showLegendKey val="0"/>
          <c:showVal val="0"/>
          <c:showCatName val="0"/>
          <c:showSerName val="0"/>
          <c:showPercent val="0"/>
          <c:showBubbleSize val="0"/>
        </c:dLbls>
        <c:gapWidth val="182"/>
        <c:axId val="1441200768"/>
        <c:axId val="1441200408"/>
      </c:barChart>
      <c:catAx>
        <c:axId val="1441200768"/>
        <c:scaling>
          <c:orientation val="minMax"/>
        </c:scaling>
        <c:delete val="0"/>
        <c:axPos val="l"/>
        <c:numFmt formatCode="General" sourceLinked="1"/>
        <c:majorTickMark val="none"/>
        <c:minorTickMark val="none"/>
        <c:tickLblPos val="low"/>
        <c:spPr>
          <a:noFill/>
          <a:ln w="9525" cap="flat" cmpd="sng" algn="ctr">
            <a:solidFill>
              <a:schemeClr val="bg1">
                <a:lumMod val="9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41200408"/>
        <c:crosses val="autoZero"/>
        <c:auto val="1"/>
        <c:lblAlgn val="ctr"/>
        <c:lblOffset val="100"/>
        <c:noMultiLvlLbl val="0"/>
      </c:catAx>
      <c:valAx>
        <c:axId val="144120040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34450833333333336"/>
              <c:y val="0.949640972222222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200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5764001856902E-2"/>
          <c:y val="3.2943956363996524E-2"/>
          <c:w val="0.63964794685990334"/>
          <c:h val="0.87865587714757687"/>
        </c:manualLayout>
      </c:layout>
      <c:barChart>
        <c:barDir val="col"/>
        <c:grouping val="stacked"/>
        <c:varyColors val="0"/>
        <c:ser>
          <c:idx val="3"/>
          <c:order val="0"/>
          <c:tx>
            <c:strRef>
              <c:f>'Talnagögn | Numerical Data'!$E$336</c:f>
              <c:strCache>
                <c:ptCount val="1"/>
                <c:pt idx="0">
                  <c:v>Skógar</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Data'!$X$336:$AX$336</c15:sqref>
                  </c15:fullRef>
                </c:ext>
              </c:extLst>
              <c:f>'Talnagögn | Numerical Data'!$X$336:$AR$336</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712A-43C5-9740-26C02E48E29B}"/>
            </c:ext>
          </c:extLst>
        </c:ser>
        <c:ser>
          <c:idx val="5"/>
          <c:order val="1"/>
          <c:tx>
            <c:strRef>
              <c:f>'Talnagögn | Numerical Data'!$E$338</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Data'!$X$338:$AX$338</c15:sqref>
                  </c15:fullRef>
                </c:ext>
              </c:extLst>
              <c:f>'Talnagögn | Numerical Data'!$X$338:$AR$338</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2-712A-43C5-9740-26C02E48E29B}"/>
            </c:ext>
          </c:extLst>
        </c:ser>
        <c:ser>
          <c:idx val="4"/>
          <c:order val="2"/>
          <c:tx>
            <c:strRef>
              <c:f>'Talnagögn | Numerical Data'!$E$337</c:f>
              <c:strCache>
                <c:ptCount val="1"/>
                <c:pt idx="0">
                  <c:v>Ræktað land</c:v>
                </c:pt>
              </c:strCache>
            </c:strRef>
          </c:tx>
          <c:spPr>
            <a:solidFill>
              <a:srgbClr val="FFCCA9"/>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Data'!$X$337:$AX$337</c15:sqref>
                  </c15:fullRef>
                </c:ext>
              </c:extLst>
              <c:f>'Talnagögn | Numerical Data'!$X$337:$AR$337</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1-712A-43C5-9740-26C02E48E29B}"/>
            </c:ext>
          </c:extLst>
        </c:ser>
        <c:ser>
          <c:idx val="6"/>
          <c:order val="3"/>
          <c:tx>
            <c:strRef>
              <c:f>'Talnagögn | Numerical Data'!$E$339</c:f>
              <c:strCache>
                <c:ptCount val="1"/>
                <c:pt idx="0">
                  <c:v>Votlendi</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Data'!$X$339:$AX$339</c15:sqref>
                  </c15:fullRef>
                </c:ext>
              </c:extLst>
              <c:f>'Talnagögn | Numerical Data'!$X$339:$AR$339</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712A-43C5-9740-26C02E48E29B}"/>
            </c:ext>
          </c:extLst>
        </c:ser>
        <c:ser>
          <c:idx val="0"/>
          <c:order val="4"/>
          <c:tx>
            <c:strRef>
              <c:f>'Talnagögn | Numerical Data'!$E$340</c:f>
              <c:strCache>
                <c:ptCount val="1"/>
                <c:pt idx="0">
                  <c:v>Annað</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Data'!$X$340:$AX$340</c15:sqref>
                  </c15:fullRef>
                </c:ext>
              </c:extLst>
              <c:f>'Talnagögn | Numerical Data'!$X$340:$AR$340</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712A-43C5-9740-26C02E48E29B}"/>
            </c:ext>
          </c:extLst>
        </c:ser>
        <c:dLbls>
          <c:showLegendKey val="0"/>
          <c:showVal val="0"/>
          <c:showCatName val="0"/>
          <c:showSerName val="0"/>
          <c:showPercent val="0"/>
          <c:showBubbleSize val="0"/>
        </c:dLbls>
        <c:gapWidth val="55"/>
        <c:overlap val="100"/>
        <c:axId val="415872592"/>
        <c:axId val="415874032"/>
      </c:barChart>
      <c:catAx>
        <c:axId val="415872592"/>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4032"/>
        <c:crosses val="autoZero"/>
        <c:auto val="1"/>
        <c:lblAlgn val="ctr"/>
        <c:lblOffset val="100"/>
        <c:noMultiLvlLbl val="0"/>
      </c:catAx>
      <c:valAx>
        <c:axId val="41587403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2091033324804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2592"/>
        <c:crosses val="autoZero"/>
        <c:crossBetween val="between"/>
      </c:valAx>
      <c:spPr>
        <a:noFill/>
        <a:ln>
          <a:noFill/>
        </a:ln>
        <a:effectLst/>
      </c:spPr>
    </c:plotArea>
    <c:legend>
      <c:legendPos val="r"/>
      <c:layout>
        <c:manualLayout>
          <c:xMode val="edge"/>
          <c:yMode val="edge"/>
          <c:x val="0.73612555654508094"/>
          <c:y val="0.34151752078452363"/>
          <c:w val="0.14656425120772945"/>
          <c:h val="0.3319392482316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560059369168682E-2"/>
          <c:y val="3.2963700995399949E-2"/>
          <c:w val="0.63456398475494957"/>
          <c:h val="0.87858315075879045"/>
        </c:manualLayout>
      </c:layout>
      <c:lineChart>
        <c:grouping val="standard"/>
        <c:varyColors val="0"/>
        <c:ser>
          <c:idx val="5"/>
          <c:order val="0"/>
          <c:tx>
            <c:strRef>
              <c:f>'Talnagögn | Numerical Data'!$E$338</c:f>
              <c:strCache>
                <c:ptCount val="1"/>
                <c:pt idx="0">
                  <c:v>Mólendi</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Data'!$X$338:$AX$338</c15:sqref>
                  </c15:fullRef>
                </c:ext>
              </c:extLst>
              <c:f>'Talnagögn | Numerical Data'!$X$338:$AR$338</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0-6A15-440C-996C-227EC4FEFA88}"/>
            </c:ext>
          </c:extLst>
        </c:ser>
        <c:ser>
          <c:idx val="4"/>
          <c:order val="1"/>
          <c:tx>
            <c:strRef>
              <c:f>'Talnagögn | Numerical Data'!$E$337</c:f>
              <c:strCache>
                <c:ptCount val="1"/>
                <c:pt idx="0">
                  <c:v>Ræktað land</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Data'!$X$337:$AX$337</c15:sqref>
                  </c15:fullRef>
                </c:ext>
              </c:extLst>
              <c:f>'Talnagögn | Numerical Data'!$X$337:$AR$337</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1-6A15-440C-996C-227EC4FEFA88}"/>
            </c:ext>
          </c:extLst>
        </c:ser>
        <c:ser>
          <c:idx val="6"/>
          <c:order val="2"/>
          <c:tx>
            <c:strRef>
              <c:f>'Talnagögn | Numerical Data'!$E$339</c:f>
              <c:strCache>
                <c:ptCount val="1"/>
                <c:pt idx="0">
                  <c:v>Votlendi</c:v>
                </c:pt>
              </c:strCache>
            </c:strRef>
          </c:tx>
          <c:spPr>
            <a:ln w="28575"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Data'!$X$339:$AX$339</c15:sqref>
                  </c15:fullRef>
                </c:ext>
              </c:extLst>
              <c:f>'Talnagögn | Numerical Data'!$X$339:$AR$339</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2-6A15-440C-996C-227EC4FEFA88}"/>
            </c:ext>
          </c:extLst>
        </c:ser>
        <c:ser>
          <c:idx val="0"/>
          <c:order val="3"/>
          <c:tx>
            <c:strRef>
              <c:f>'Talnagögn | Numerical Data'!$E$340</c:f>
              <c:strCache>
                <c:ptCount val="1"/>
                <c:pt idx="0">
                  <c:v>Annað</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Data'!$X$340:$AX$340</c15:sqref>
                  </c15:fullRef>
                </c:ext>
              </c:extLst>
              <c:f>'Talnagögn | Numerical Data'!$X$340:$AR$340</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3-6A15-440C-996C-227EC4FEFA88}"/>
            </c:ext>
          </c:extLst>
        </c:ser>
        <c:ser>
          <c:idx val="3"/>
          <c:order val="4"/>
          <c:tx>
            <c:strRef>
              <c:f>'Talnagögn | Numerical Data'!$E$336</c:f>
              <c:strCache>
                <c:ptCount val="1"/>
                <c:pt idx="0">
                  <c:v>Skógar</c:v>
                </c:pt>
              </c:strCache>
            </c:strRef>
          </c:tx>
          <c:spPr>
            <a:ln w="28575"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Data'!$X$336:$AX$336</c15:sqref>
                  </c15:fullRef>
                </c:ext>
              </c:extLst>
              <c:f>'Talnagögn | Numerical Data'!$X$336:$AR$336</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4-6A15-440C-996C-227EC4FEFA88}"/>
            </c:ext>
          </c:extLst>
        </c:ser>
        <c:dLbls>
          <c:showLegendKey val="0"/>
          <c:showVal val="0"/>
          <c:showCatName val="0"/>
          <c:showSerName val="0"/>
          <c:showPercent val="0"/>
          <c:showBubbleSize val="0"/>
        </c:dLbls>
        <c:smooth val="0"/>
        <c:axId val="415872592"/>
        <c:axId val="415874032"/>
      </c:lineChart>
      <c:catAx>
        <c:axId val="415872592"/>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4032"/>
        <c:crosses val="autoZero"/>
        <c:auto val="1"/>
        <c:lblAlgn val="ctr"/>
        <c:lblOffset val="100"/>
        <c:noMultiLvlLbl val="0"/>
      </c:catAx>
      <c:valAx>
        <c:axId val="41587403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6.37784167058272E-3"/>
              <c:y val="0.141876524158239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2592"/>
        <c:crosses val="autoZero"/>
        <c:crossBetween val="between"/>
      </c:valAx>
      <c:spPr>
        <a:noFill/>
        <a:ln>
          <a:noFill/>
        </a:ln>
        <a:effectLst/>
      </c:spPr>
    </c:plotArea>
    <c:legend>
      <c:legendPos val="r"/>
      <c:layout>
        <c:manualLayout>
          <c:xMode val="edge"/>
          <c:yMode val="edge"/>
          <c:x val="0.73987972746528385"/>
          <c:y val="0.33243243562108971"/>
          <c:w val="0.13575235995835319"/>
          <c:h val="0.347121693159147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184211846130699"/>
          <c:h val="0.77287962962962964"/>
        </c:manualLayout>
      </c:layout>
      <c:barChart>
        <c:barDir val="col"/>
        <c:grouping val="stacked"/>
        <c:varyColors val="0"/>
        <c:ser>
          <c:idx val="0"/>
          <c:order val="0"/>
          <c:tx>
            <c:strRef>
              <c:f>'Talnagögn | Numerical Data'!$G$210</c:f>
              <c:strCache>
                <c:ptCount val="1"/>
                <c:pt idx="0">
                  <c:v>Forest Land</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D1A1-4884-86AF-DAB744EC3EB4}"/>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D1A1-4884-86AF-DAB744EC3EB4}"/>
            </c:ext>
          </c:extLst>
        </c:ser>
        <c:ser>
          <c:idx val="1"/>
          <c:order val="2"/>
          <c:tx>
            <c:strRef>
              <c:f>'Talnagögn | Numerical Data'!$G$211</c:f>
              <c:strCache>
                <c:ptCount val="1"/>
                <c:pt idx="0">
                  <c:v>Cropland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D1A1-4884-86AF-DAB744EC3EB4}"/>
            </c:ext>
          </c:extLst>
        </c:ser>
        <c:ser>
          <c:idx val="3"/>
          <c:order val="3"/>
          <c:tx>
            <c:strRef>
              <c:f>'Talnagögn | Numerical Data'!$G$213</c:f>
              <c:strCache>
                <c:ptCount val="1"/>
                <c:pt idx="0">
                  <c:v>Wetlands</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D1A1-4884-86AF-DAB744EC3EB4}"/>
            </c:ext>
          </c:extLst>
        </c:ser>
        <c:ser>
          <c:idx val="5"/>
          <c:order val="4"/>
          <c:tx>
            <c:strRef>
              <c:f>'Talnagögn | Numerical Data'!$G$214</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D1A1-4884-86AF-DAB744EC3EB4}"/>
            </c:ext>
          </c:extLst>
        </c:ser>
        <c:ser>
          <c:idx val="4"/>
          <c:order val="5"/>
          <c:tx>
            <c:v>Forestry WEM</c:v>
          </c:tx>
          <c:spPr>
            <a:solidFill>
              <a:schemeClr val="bg2">
                <a:alpha val="20000"/>
              </a:schemeClr>
            </a:solidFill>
            <a:ln>
              <a:noFill/>
            </a:ln>
            <a:effectLst/>
          </c:spPr>
          <c:invertIfNegative val="0"/>
          <c:dPt>
            <c:idx val="18"/>
            <c:invertIfNegative val="0"/>
            <c:bubble3D val="0"/>
            <c:spPr>
              <a:noFill/>
              <a:ln>
                <a:noFill/>
              </a:ln>
              <a:effectLst/>
            </c:spPr>
            <c:extLst>
              <c:ext xmlns:c16="http://schemas.microsoft.com/office/drawing/2014/chart" uri="{C3380CC4-5D6E-409C-BE32-E72D297353CC}">
                <c16:uniqueId val="{00000006-D1A1-4884-86AF-DAB744EC3EB4}"/>
              </c:ext>
            </c:extLst>
          </c:dPt>
          <c:dPt>
            <c:idx val="20"/>
            <c:invertIfNegative val="0"/>
            <c:bubble3D val="0"/>
            <c:spPr>
              <a:noFill/>
              <a:ln>
                <a:noFill/>
              </a:ln>
              <a:effectLst/>
            </c:spPr>
            <c:extLst>
              <c:ext xmlns:c16="http://schemas.microsoft.com/office/drawing/2014/chart" uri="{C3380CC4-5D6E-409C-BE32-E72D297353CC}">
                <c16:uniqueId val="{00000003-3701-4406-9ED3-F3AF228254BF}"/>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extLst>
            <c:ext xmlns:c16="http://schemas.microsoft.com/office/drawing/2014/chart" uri="{C3380CC4-5D6E-409C-BE32-E72D297353CC}">
              <c16:uniqueId val="{00000007-D1A1-4884-86AF-DAB744EC3EB4}"/>
            </c:ext>
          </c:extLst>
        </c:ser>
        <c:ser>
          <c:idx val="7"/>
          <c:order val="6"/>
          <c:tx>
            <c:v>Mólendi WEM</c:v>
          </c:tx>
          <c:spPr>
            <a:solidFill>
              <a:srgbClr val="66D7C7">
                <a:alpha val="30000"/>
              </a:srgbClr>
            </a:solidFill>
            <a:ln>
              <a:noFill/>
            </a:ln>
            <a:effectLst/>
          </c:spPr>
          <c:invertIfNegative val="0"/>
          <c:dPt>
            <c:idx val="18"/>
            <c:invertIfNegative val="0"/>
            <c:bubble3D val="0"/>
            <c:spPr>
              <a:solidFill>
                <a:srgbClr val="66D7C7">
                  <a:alpha val="30000"/>
                </a:srgbClr>
              </a:solidFill>
              <a:ln>
                <a:noFill/>
              </a:ln>
              <a:effectLst/>
            </c:spPr>
            <c:extLst>
              <c:ext xmlns:c16="http://schemas.microsoft.com/office/drawing/2014/chart" uri="{C3380CC4-5D6E-409C-BE32-E72D297353CC}">
                <c16:uniqueId val="{00000009-D1A1-4884-86AF-DAB744EC3EB4}"/>
              </c:ext>
            </c:extLst>
          </c:dPt>
          <c:dPt>
            <c:idx val="20"/>
            <c:invertIfNegative val="0"/>
            <c:bubble3D val="0"/>
            <c:spPr>
              <a:noFill/>
              <a:ln>
                <a:noFill/>
              </a:ln>
              <a:effectLst/>
            </c:spPr>
            <c:extLst>
              <c:ext xmlns:c16="http://schemas.microsoft.com/office/drawing/2014/chart" uri="{C3380CC4-5D6E-409C-BE32-E72D297353CC}">
                <c16:uniqueId val="{00000007-3701-4406-9ED3-F3AF228254BF}"/>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extLst>
            <c:ext xmlns:c16="http://schemas.microsoft.com/office/drawing/2014/chart" uri="{C3380CC4-5D6E-409C-BE32-E72D297353CC}">
              <c16:uniqueId val="{0000000A-D1A1-4884-86AF-DAB744EC3EB4}"/>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extLst>
            <c:ext xmlns:c16="http://schemas.microsoft.com/office/drawing/2014/chart" uri="{C3380CC4-5D6E-409C-BE32-E72D297353CC}">
              <c16:uniqueId val="{0000000B-D1A1-4884-86AF-DAB744EC3EB4}"/>
            </c:ext>
          </c:extLst>
        </c:ser>
        <c:ser>
          <c:idx val="8"/>
          <c:order val="8"/>
          <c:tx>
            <c:v>Votlendi WEM</c:v>
          </c:tx>
          <c:spPr>
            <a:solidFill>
              <a:srgbClr val="338DE9">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extLst>
            <c:ext xmlns:c16="http://schemas.microsoft.com/office/drawing/2014/chart" uri="{C3380CC4-5D6E-409C-BE32-E72D297353CC}">
              <c16:uniqueId val="{0000000C-D1A1-4884-86AF-DAB744EC3EB4}"/>
            </c:ext>
          </c:extLst>
        </c:ser>
        <c:ser>
          <c:idx val="9"/>
          <c:order val="9"/>
          <c:tx>
            <c:v>Annað WEM</c:v>
          </c:tx>
          <c:spPr>
            <a:solidFill>
              <a:schemeClr val="tx1">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extLst>
            <c:ext xmlns:c16="http://schemas.microsoft.com/office/drawing/2014/chart" uri="{C3380CC4-5D6E-409C-BE32-E72D297353CC}">
              <c16:uniqueId val="{0000000D-D1A1-4884-86AF-DAB744EC3EB4}"/>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9.6432894074769088E-4"/>
              <c:y val="0.259101620370370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4558089673504191"/>
          <c:y val="0.30621527777777785"/>
          <c:w val="0.1413617784241937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180276120097813"/>
          <c:y val="6.0961694880576837E-2"/>
          <c:w val="0.4528816615188706"/>
          <c:h val="0.86875506275370407"/>
        </c:manualLayout>
      </c:layout>
      <c:doughnutChart>
        <c:varyColors val="1"/>
        <c:ser>
          <c:idx val="0"/>
          <c:order val="0"/>
          <c:spPr>
            <a:solidFill>
              <a:schemeClr val="bg2"/>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01C7-4F6E-B4E1-73B96076EC73}"/>
              </c:ext>
            </c:extLst>
          </c:dPt>
          <c:dPt>
            <c:idx val="1"/>
            <c:bubble3D val="0"/>
            <c:spPr>
              <a:solidFill>
                <a:srgbClr val="FFBB8D"/>
              </a:solidFill>
              <a:ln w="19050">
                <a:solidFill>
                  <a:schemeClr val="lt1"/>
                </a:solidFill>
              </a:ln>
              <a:effectLst/>
            </c:spPr>
            <c:extLst>
              <c:ext xmlns:c16="http://schemas.microsoft.com/office/drawing/2014/chart" uri="{C3380CC4-5D6E-409C-BE32-E72D297353CC}">
                <c16:uniqueId val="{00000003-01C7-4F6E-B4E1-73B96076EC73}"/>
              </c:ext>
            </c:extLst>
          </c:dPt>
          <c:dPt>
            <c:idx val="2"/>
            <c:bubble3D val="0"/>
            <c:spPr>
              <a:solidFill>
                <a:schemeClr val="accent5">
                  <a:lumMod val="60000"/>
                  <a:lumOff val="40000"/>
                </a:schemeClr>
              </a:solidFill>
              <a:ln w="19050">
                <a:solidFill>
                  <a:schemeClr val="accent5">
                    <a:lumMod val="60000"/>
                    <a:lumOff val="40000"/>
                  </a:schemeClr>
                </a:solidFill>
              </a:ln>
              <a:effectLst/>
            </c:spPr>
            <c:extLst>
              <c:ext xmlns:c16="http://schemas.microsoft.com/office/drawing/2014/chart" uri="{C3380CC4-5D6E-409C-BE32-E72D297353CC}">
                <c16:uniqueId val="{00000005-01C7-4F6E-B4E1-73B96076EC73}"/>
              </c:ext>
            </c:extLst>
          </c:dPt>
          <c:dLbls>
            <c:dLbl>
              <c:idx val="0"/>
              <c:layout>
                <c:manualLayout>
                  <c:x val="0.21327391650759611"/>
                  <c:y val="-0.19936990002586252"/>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F6F49B72-26EA-4EDC-B621-0F1D057D8836}"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EC55B38C-3B91-4CA6-BDC9-F6FF2939BA8A}"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baseline="0"/>
                  </a:p>
                  <a:p>
                    <a:pPr>
                      <a:defRPr sz="1000">
                        <a:solidFill>
                          <a:sysClr val="windowText" lastClr="000000"/>
                        </a:solidFill>
                      </a:defRPr>
                    </a:pPr>
                    <a:fld id="{E480ACE5-77C6-455D-A37D-58DDA22FA66C}"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12361016339197"/>
                      <c:h val="0.25689105694936787"/>
                    </c:manualLayout>
                  </c15:layout>
                  <c15:dlblFieldTable/>
                  <c15:showDataLabelsRange val="0"/>
                </c:ext>
                <c:ext xmlns:c16="http://schemas.microsoft.com/office/drawing/2014/chart" uri="{C3380CC4-5D6E-409C-BE32-E72D297353CC}">
                  <c16:uniqueId val="{00000001-01C7-4F6E-B4E1-73B96076EC73}"/>
                </c:ext>
              </c:extLst>
            </c:dLbl>
            <c:dLbl>
              <c:idx val="1"/>
              <c:layout>
                <c:manualLayout>
                  <c:x val="0.20485835233964594"/>
                  <c:y val="0.20819321057709947"/>
                </c:manualLayout>
              </c:layout>
              <c:tx>
                <c:rich>
                  <a:bodyPr/>
                  <a:lstStyle/>
                  <a:p>
                    <a:fld id="{61B1FE87-716C-4A66-931F-C2DC5B43CB14}" type="CATEGORYNAME">
                      <a:rPr lang="en-US" sz="1200" b="1"/>
                      <a:pPr/>
                      <a:t>[CATEGORY NAME]</a:t>
                    </a:fld>
                    <a:endParaRPr lang="en-US" b="1" baseline="0"/>
                  </a:p>
                  <a:p>
                    <a:fld id="{12F314BA-037F-437F-8AE6-F859194038A4}" type="VALUE">
                      <a:rPr lang="en-US"/>
                      <a:pPr/>
                      <a:t>[VALUE]</a:t>
                    </a:fld>
                    <a:r>
                      <a:rPr lang="en-US"/>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p>
                  <a:p>
                    <a:fld id="{F99FCF14-3945-492C-A338-A5C97D7AF906}"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657396220859584"/>
                      <c:h val="0.23378540476399973"/>
                    </c:manualLayout>
                  </c15:layout>
                  <c15:dlblFieldTable/>
                  <c15:showDataLabelsRange val="0"/>
                </c:ext>
                <c:ext xmlns:c16="http://schemas.microsoft.com/office/drawing/2014/chart" uri="{C3380CC4-5D6E-409C-BE32-E72D297353CC}">
                  <c16:uniqueId val="{00000003-01C7-4F6E-B4E1-73B96076EC73}"/>
                </c:ext>
              </c:extLst>
            </c:dLbl>
            <c:dLbl>
              <c:idx val="2"/>
              <c:layout>
                <c:manualLayout>
                  <c:x val="-0.20880262801762653"/>
                  <c:y val="-0.22470195283086972"/>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81345CA-6143-4E05-BA8F-E8134D716A39}"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r>
                      <a:rPr lang="en-US" sz="1000" b="0" baseline="0"/>
                      <a:t>
</a:t>
                    </a:r>
                    <a:fld id="{CB824B63-D9AF-4B3C-B736-145BC946D35D}" type="VALUE">
                      <a:rPr lang="en-US" sz="1000" b="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b="0" baseline="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r>
                      <a:rPr lang="en-US" sz="1000" b="0" baseline="0"/>
                      <a:t>
</a:t>
                    </a:r>
                    <a:fld id="{A756EEDD-F1B9-4549-B5B2-5D65F9077762}" type="PERCENTAGE">
                      <a:rPr lang="en-US" sz="1000" b="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en-US" sz="1000" b="0" baseline="0"/>
                  </a:p>
                </c:rich>
              </c:tx>
              <c:numFmt formatCode="0%" sourceLinked="0"/>
              <c:spPr>
                <a:noFill/>
                <a:ln w="6350">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27942367397534"/>
                      <c:h val="0.26029433490167331"/>
                    </c:manualLayout>
                  </c15:layout>
                  <c15:dlblFieldTable/>
                  <c15:showDataLabelsRange val="0"/>
                </c:ext>
                <c:ext xmlns:c16="http://schemas.microsoft.com/office/drawing/2014/chart" uri="{C3380CC4-5D6E-409C-BE32-E72D297353CC}">
                  <c16:uniqueId val="{00000005-01C7-4F6E-B4E1-73B96076EC73}"/>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8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Obligations'!$U$359:$U$361</c:f>
              <c:strCache>
                <c:ptCount val="3"/>
                <c:pt idx="0">
                  <c:v>Fuel Combustion, Stationary Industry</c:v>
                </c:pt>
                <c:pt idx="1">
                  <c:v>Ferrosilicon and Silicon Metal Production</c:v>
                </c:pt>
                <c:pt idx="2">
                  <c:v>Aluminium Production</c:v>
                </c:pt>
              </c:strCache>
            </c:strRef>
          </c:cat>
          <c:val>
            <c:numRef>
              <c:f>'Skuldbindingar | Obligations'!$V$359:$V$361</c:f>
              <c:numCache>
                <c:formatCode>0</c:formatCode>
                <c:ptCount val="3"/>
                <c:pt idx="0" formatCode="0.0">
                  <c:v>5.2888553506420521</c:v>
                </c:pt>
                <c:pt idx="1">
                  <c:v>380.97920711840749</c:v>
                </c:pt>
                <c:pt idx="2">
                  <c:v>1290.3163042728158</c:v>
                </c:pt>
              </c:numCache>
            </c:numRef>
          </c:val>
          <c:extLst>
            <c:ext xmlns:c16="http://schemas.microsoft.com/office/drawing/2014/chart" uri="{C3380CC4-5D6E-409C-BE32-E72D297353CC}">
              <c16:uniqueId val="{00000006-01C7-4F6E-B4E1-73B96076EC73}"/>
            </c:ext>
          </c:extLst>
        </c:ser>
        <c:dLbls>
          <c:showLegendKey val="0"/>
          <c:showVal val="0"/>
          <c:showCatName val="0"/>
          <c:showSerName val="0"/>
          <c:showPercent val="0"/>
          <c:showBubbleSize val="0"/>
          <c:showLeaderLines val="1"/>
        </c:dLbls>
        <c:firstSliceAng val="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285820312499996"/>
          <c:y val="4.8848148148148147E-2"/>
          <c:w val="0.51082005208333336"/>
          <c:h val="0.90812453703703699"/>
        </c:manualLayout>
      </c:layout>
      <c:doughnutChart>
        <c:varyColors val="1"/>
        <c:ser>
          <c:idx val="0"/>
          <c:order val="0"/>
          <c:spPr>
            <a:solidFill>
              <a:srgbClr val="9D8E90"/>
            </a:solidFill>
          </c:spPr>
          <c:dPt>
            <c:idx val="0"/>
            <c:bubble3D val="0"/>
            <c:spPr>
              <a:solidFill>
                <a:srgbClr val="9D8E90"/>
              </a:solidFill>
              <a:ln w="19050">
                <a:solidFill>
                  <a:schemeClr val="lt1"/>
                </a:solidFill>
              </a:ln>
              <a:effectLst/>
            </c:spPr>
            <c:extLst>
              <c:ext xmlns:c16="http://schemas.microsoft.com/office/drawing/2014/chart" uri="{C3380CC4-5D6E-409C-BE32-E72D297353CC}">
                <c16:uniqueId val="{00000001-FAE9-4259-9847-F8AB13916520}"/>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FAE9-4259-9847-F8AB13916520}"/>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FAE9-4259-9847-F8AB13916520}"/>
              </c:ext>
            </c:extLst>
          </c:dPt>
          <c:dLbls>
            <c:dLbl>
              <c:idx val="0"/>
              <c:layout>
                <c:manualLayout>
                  <c:x val="0.20370462176813348"/>
                  <c:y val="-0.25208836218322633"/>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257790C9-9D81-431F-8F18-AD83AD1AF651}"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1A2038E4-13BD-480C-985C-5703CD9F6F27}"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a:defRPr sz="1000">
                        <a:solidFill>
                          <a:sysClr val="windowText" lastClr="000000"/>
                        </a:solidFill>
                      </a:defRPr>
                    </a:pPr>
                    <a:fld id="{829902B3-1DF8-4030-B35C-B694492CBC85}" type="PERCENTAGE">
                      <a:rPr lang="en-US" sz="1000"/>
                      <a:pPr>
                        <a:defRPr sz="1000">
                          <a:solidFill>
                            <a:sysClr val="windowText" lastClr="000000"/>
                          </a:solidFill>
                        </a:defRPr>
                      </a:pPr>
                      <a:t>[PERCENTAGE]</a:t>
                    </a:fld>
                    <a:endParaRPr lang="is-IS"/>
                  </a:p>
                </c:rich>
              </c:tx>
              <c:numFmt formatCode="0.0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090746833393179"/>
                      <c:h val="0.27367201189032797"/>
                    </c:manualLayout>
                  </c15:layout>
                  <c15:dlblFieldTable/>
                  <c15:showDataLabelsRange val="0"/>
                </c:ext>
                <c:ext xmlns:c16="http://schemas.microsoft.com/office/drawing/2014/chart" uri="{C3380CC4-5D6E-409C-BE32-E72D297353CC}">
                  <c16:uniqueId val="{00000001-FAE9-4259-9847-F8AB13916520}"/>
                </c:ext>
              </c:extLst>
            </c:dLbl>
            <c:dLbl>
              <c:idx val="1"/>
              <c:layout>
                <c:manualLayout>
                  <c:x val="0.19068897857456255"/>
                  <c:y val="0.23543613191242518"/>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34DE3A2B-AC1D-4BB6-8FF3-8E619B76AEF7}"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12BFEB3F-7A8D-41BE-9A06-3DB0C2BE020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a:defRPr sz="1000">
                        <a:solidFill>
                          <a:sysClr val="windowText" lastClr="000000"/>
                        </a:solidFill>
                      </a:defRPr>
                    </a:pPr>
                    <a:fld id="{B2EA0A6F-D057-436A-A26F-1668A077C4C2}" type="PERCENTAGE">
                      <a:rPr lang="en-US" sz="1000"/>
                      <a:pPr>
                        <a:defRPr sz="1000">
                          <a:solidFill>
                            <a:sysClr val="windowText" lastClr="000000"/>
                          </a:solidFill>
                        </a:defRPr>
                      </a:pPr>
                      <a:t>[PERCENTAGE]</a:t>
                    </a:fld>
                    <a:endParaRPr lang="is-IS"/>
                  </a:p>
                </c:rich>
              </c:tx>
              <c:numFmt formatCode="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502804434585654"/>
                      <c:h val="0.20069542146966196"/>
                    </c:manualLayout>
                  </c15:layout>
                  <c15:dlblFieldTable/>
                  <c15:showDataLabelsRange val="0"/>
                </c:ext>
                <c:ext xmlns:c16="http://schemas.microsoft.com/office/drawing/2014/chart" uri="{C3380CC4-5D6E-409C-BE32-E72D297353CC}">
                  <c16:uniqueId val="{00000003-FAE9-4259-9847-F8AB13916520}"/>
                </c:ext>
              </c:extLst>
            </c:dLbl>
            <c:dLbl>
              <c:idx val="2"/>
              <c:layout>
                <c:manualLayout>
                  <c:x val="-0.20835241815387079"/>
                  <c:y val="-0.21086264294497697"/>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9C5F6B16-EB34-4B7C-9686-514D4BA8B8A4}" type="CATEGORYNAME">
                      <a:rPr lang="en-US" sz="1000" b="1">
                        <a:solidFill>
                          <a:sysClr val="windowText" lastClr="000000"/>
                        </a:solidFill>
                      </a:rPr>
                      <a:pPr>
                        <a:defRPr sz="1000">
                          <a:solidFill>
                            <a:sysClr val="windowText" lastClr="000000"/>
                          </a:solidFill>
                        </a:defRPr>
                      </a:pPr>
                      <a:t>[CATEGORY NAME]</a:t>
                    </a:fld>
                    <a:r>
                      <a:rPr lang="en-US" sz="1000" baseline="0">
                        <a:solidFill>
                          <a:sysClr val="windowText" lastClr="000000"/>
                        </a:solidFill>
                      </a:rPr>
                      <a:t>
</a:t>
                    </a:r>
                    <a:fld id="{0CB30902-B58F-413B-9FE1-74EAFA58B241}" type="VALUE">
                      <a:rPr lang="en-US" sz="1000" baseline="0">
                        <a:solidFill>
                          <a:sysClr val="windowText" lastClr="000000"/>
                        </a:solidFill>
                      </a:rPr>
                      <a:pPr>
                        <a:defRPr sz="1000">
                          <a:solidFill>
                            <a:sysClr val="windowText" lastClr="000000"/>
                          </a:solidFill>
                        </a:defRPr>
                      </a:pPr>
                      <a:t>[VALUE]</a:t>
                    </a:fld>
                    <a:r>
                      <a:rPr lang="en-US" sz="1000" baseline="0">
                        <a:solidFill>
                          <a:sysClr val="windowText" lastClr="000000"/>
                        </a:solidFill>
                      </a:rPr>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r>
                      <a:rPr lang="en-US" sz="1000" baseline="0">
                        <a:solidFill>
                          <a:sysClr val="windowText" lastClr="000000"/>
                        </a:solidFill>
                      </a:rPr>
                      <a:t>
</a:t>
                    </a:r>
                    <a:fld id="{400EE611-91F9-4CE9-8909-8B4AEAEFB16B}" type="PERCENTAGE">
                      <a:rPr lang="en-US" sz="1000" baseline="0">
                        <a:solidFill>
                          <a:sysClr val="windowText" lastClr="000000"/>
                        </a:solidFill>
                      </a:rPr>
                      <a:pPr>
                        <a:defRPr sz="1000">
                          <a:solidFill>
                            <a:sysClr val="windowText" lastClr="000000"/>
                          </a:solidFill>
                        </a:defRPr>
                      </a:pPr>
                      <a:t>[PERCENTAGE]</a:t>
                    </a:fld>
                    <a:endParaRPr lang="en-US" sz="1000" baseline="0">
                      <a:solidFill>
                        <a:sysClr val="windowText" lastClr="000000"/>
                      </a:solidFill>
                    </a:endParaRPr>
                  </a:p>
                </c:rich>
              </c:tx>
              <c:numFmt formatCode="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145998524296894"/>
                      <c:h val="0.20930534251169289"/>
                    </c:manualLayout>
                  </c15:layout>
                  <c15:dlblFieldTable/>
                  <c15:showDataLabelsRange val="0"/>
                </c:ext>
                <c:ext xmlns:c16="http://schemas.microsoft.com/office/drawing/2014/chart" uri="{C3380CC4-5D6E-409C-BE32-E72D297353CC}">
                  <c16:uniqueId val="{00000005-FAE9-4259-9847-F8AB13916520}"/>
                </c:ext>
              </c:extLst>
            </c:dLbl>
            <c:numFmt formatCode="0.0%" sourceLinked="0"/>
            <c:spPr>
              <a:noFill/>
              <a:ln w="6350">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8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Obligations'!$E$359:$E$361</c:f>
              <c:strCache>
                <c:ptCount val="3"/>
                <c:pt idx="0">
                  <c:v>Eldsneytisbruni, staðbundinn iðnaður</c:v>
                </c:pt>
                <c:pt idx="1">
                  <c:v>Kísil- og kísilmálmframleiðsla</c:v>
                </c:pt>
                <c:pt idx="2">
                  <c:v>Álframleiðsla</c:v>
                </c:pt>
              </c:strCache>
            </c:strRef>
          </c:cat>
          <c:val>
            <c:numRef>
              <c:f>'Skuldbindingar | Obligations'!$F$359:$F$361</c:f>
              <c:numCache>
                <c:formatCode>0</c:formatCode>
                <c:ptCount val="3"/>
                <c:pt idx="0" formatCode="0.0">
                  <c:v>5.2888553506420521</c:v>
                </c:pt>
                <c:pt idx="1">
                  <c:v>380.97920711840749</c:v>
                </c:pt>
                <c:pt idx="2">
                  <c:v>1290.3163042728158</c:v>
                </c:pt>
              </c:numCache>
            </c:numRef>
          </c:val>
          <c:extLst>
            <c:ext xmlns:c16="http://schemas.microsoft.com/office/drawing/2014/chart" uri="{C3380CC4-5D6E-409C-BE32-E72D297353CC}">
              <c16:uniqueId val="{00000006-FAE9-4259-9847-F8AB13916520}"/>
            </c:ext>
          </c:extLst>
        </c:ser>
        <c:dLbls>
          <c:showLegendKey val="0"/>
          <c:showVal val="0"/>
          <c:showCatName val="0"/>
          <c:showSerName val="0"/>
          <c:showPercent val="0"/>
          <c:showBubbleSize val="0"/>
          <c:showLeaderLines val="1"/>
        </c:dLbls>
        <c:firstSliceAng val="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5.2857870370370361E-2"/>
          <c:w val="0.6246717572850069"/>
          <c:h val="0.82873611111111112"/>
        </c:manualLayout>
      </c:layout>
      <c:barChart>
        <c:barDir val="col"/>
        <c:grouping val="stacked"/>
        <c:varyColors val="0"/>
        <c:ser>
          <c:idx val="0"/>
          <c:order val="0"/>
          <c:tx>
            <c:strRef>
              <c:f>'Talnagögn | Numerical Data'!$E$210</c:f>
              <c:strCache>
                <c:ptCount val="1"/>
                <c:pt idx="0">
                  <c:v>Skógar</c:v>
                </c:pt>
              </c:strCache>
            </c:strRef>
          </c:tx>
          <c:spPr>
            <a:solidFill>
              <a:srgbClr val="00827F"/>
            </a:solidFill>
            <a:ln>
              <a:solidFill>
                <a:srgbClr val="00827F"/>
              </a:solid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56DF-4F68-BBAA-A294366989C3}"/>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56DF-4F68-BBAA-A294366989C3}"/>
            </c:ext>
          </c:extLst>
        </c:ser>
        <c:ser>
          <c:idx val="1"/>
          <c:order val="2"/>
          <c:tx>
            <c:strRef>
              <c:f>'Talnagögn | Numerical Data'!$E$211</c:f>
              <c:strCache>
                <c:ptCount val="1"/>
                <c:pt idx="0">
                  <c:v>Ræktað 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56DF-4F68-BBAA-A294366989C3}"/>
            </c:ext>
          </c:extLst>
        </c:ser>
        <c:ser>
          <c:idx val="3"/>
          <c:order val="3"/>
          <c:tx>
            <c:strRef>
              <c:f>'Talnagögn | Numerical Data'!$E$213</c:f>
              <c:strCache>
                <c:ptCount val="1"/>
                <c:pt idx="0">
                  <c:v>Votlendi</c:v>
                </c:pt>
              </c:strCache>
            </c:strRef>
          </c:tx>
          <c:spPr>
            <a:solidFill>
              <a:srgbClr val="338DE9"/>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56DF-4F68-BBAA-A294366989C3}"/>
            </c:ext>
          </c:extLst>
        </c:ser>
        <c:ser>
          <c:idx val="5"/>
          <c:order val="4"/>
          <c:tx>
            <c:strRef>
              <c:f>'Talnagögn | Numerical Data'!$E$214</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56DF-4F68-BBAA-A294366989C3}"/>
            </c:ext>
          </c:extLst>
        </c:ser>
        <c:ser>
          <c:idx val="4"/>
          <c:order val="5"/>
          <c:tx>
            <c:v>Forestry WEM</c:v>
          </c:tx>
          <c:spPr>
            <a:solidFill>
              <a:srgbClr val="00827F">
                <a:alpha val="20000"/>
              </a:srgbClr>
            </a:solidFill>
            <a:ln>
              <a:noFill/>
            </a:ln>
            <a:effectLst/>
          </c:spPr>
          <c:invertIfNegative val="0"/>
          <c:dPt>
            <c:idx val="18"/>
            <c:invertIfNegative val="0"/>
            <c:bubble3D val="0"/>
            <c:spPr>
              <a:noFill/>
              <a:ln>
                <a:noFill/>
              </a:ln>
              <a:effectLst/>
            </c:spPr>
            <c:extLst>
              <c:ext xmlns:c16="http://schemas.microsoft.com/office/drawing/2014/chart" uri="{C3380CC4-5D6E-409C-BE32-E72D297353CC}">
                <c16:uniqueId val="{00000006-56DF-4F68-BBAA-A294366989C3}"/>
              </c:ext>
            </c:extLst>
          </c:dPt>
          <c:dPt>
            <c:idx val="20"/>
            <c:invertIfNegative val="0"/>
            <c:bubble3D val="0"/>
            <c:spPr>
              <a:noFill/>
              <a:ln>
                <a:noFill/>
              </a:ln>
              <a:effectLst/>
            </c:spPr>
            <c:extLst>
              <c:ext xmlns:c16="http://schemas.microsoft.com/office/drawing/2014/chart" uri="{C3380CC4-5D6E-409C-BE32-E72D297353CC}">
                <c16:uniqueId val="{00000003-A971-4D89-BB03-0A245E6D4ECA}"/>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extLst>
            <c:ext xmlns:c16="http://schemas.microsoft.com/office/drawing/2014/chart" uri="{C3380CC4-5D6E-409C-BE32-E72D297353CC}">
              <c16:uniqueId val="{00000007-56DF-4F68-BBAA-A294366989C3}"/>
            </c:ext>
          </c:extLst>
        </c:ser>
        <c:ser>
          <c:idx val="7"/>
          <c:order val="6"/>
          <c:tx>
            <c:v>Mólendi WEM</c:v>
          </c:tx>
          <c:spPr>
            <a:solidFill>
              <a:srgbClr val="66D7C7">
                <a:alpha val="30196"/>
              </a:srgbClr>
            </a:solidFill>
            <a:ln>
              <a:noFill/>
            </a:ln>
            <a:effectLst/>
          </c:spPr>
          <c:invertIfNegative val="0"/>
          <c:dPt>
            <c:idx val="18"/>
            <c:invertIfNegative val="0"/>
            <c:bubble3D val="0"/>
            <c:spPr>
              <a:solidFill>
                <a:srgbClr val="66D7C7">
                  <a:alpha val="30196"/>
                </a:srgbClr>
              </a:solidFill>
              <a:ln>
                <a:noFill/>
              </a:ln>
              <a:effectLst/>
            </c:spPr>
            <c:extLst>
              <c:ext xmlns:c16="http://schemas.microsoft.com/office/drawing/2014/chart" uri="{C3380CC4-5D6E-409C-BE32-E72D297353CC}">
                <c16:uniqueId val="{00000009-56DF-4F68-BBAA-A294366989C3}"/>
              </c:ext>
            </c:extLst>
          </c:dPt>
          <c:dPt>
            <c:idx val="20"/>
            <c:invertIfNegative val="0"/>
            <c:bubble3D val="0"/>
            <c:spPr>
              <a:noFill/>
              <a:ln>
                <a:noFill/>
              </a:ln>
              <a:effectLst/>
            </c:spPr>
            <c:extLst>
              <c:ext xmlns:c16="http://schemas.microsoft.com/office/drawing/2014/chart" uri="{C3380CC4-5D6E-409C-BE32-E72D297353CC}">
                <c16:uniqueId val="{00000007-A971-4D89-BB03-0A245E6D4ECA}"/>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extLst>
            <c:ext xmlns:c16="http://schemas.microsoft.com/office/drawing/2014/chart" uri="{C3380CC4-5D6E-409C-BE32-E72D297353CC}">
              <c16:uniqueId val="{0000000A-56DF-4F68-BBAA-A294366989C3}"/>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extLst>
            <c:ext xmlns:c16="http://schemas.microsoft.com/office/drawing/2014/chart" uri="{C3380CC4-5D6E-409C-BE32-E72D297353CC}">
              <c16:uniqueId val="{0000000B-56DF-4F68-BBAA-A294366989C3}"/>
            </c:ext>
          </c:extLst>
        </c:ser>
        <c:ser>
          <c:idx val="8"/>
          <c:order val="8"/>
          <c:tx>
            <c:v>Votlendi WEM</c:v>
          </c:tx>
          <c:spPr>
            <a:solidFill>
              <a:srgbClr val="338DE9">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extLst>
            <c:ext xmlns:c16="http://schemas.microsoft.com/office/drawing/2014/chart" uri="{C3380CC4-5D6E-409C-BE32-E72D297353CC}">
              <c16:uniqueId val="{0000000C-56DF-4F68-BBAA-A294366989C3}"/>
            </c:ext>
          </c:extLst>
        </c:ser>
        <c:ser>
          <c:idx val="9"/>
          <c:order val="9"/>
          <c:tx>
            <c:v>Annað WEM</c:v>
          </c:tx>
          <c:spPr>
            <a:solidFill>
              <a:schemeClr val="tx1">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extLst>
            <c:ext xmlns:c16="http://schemas.microsoft.com/office/drawing/2014/chart" uri="{C3380CC4-5D6E-409C-BE32-E72D297353CC}">
              <c16:uniqueId val="{0000000D-56DF-4F68-BBAA-A294366989C3}"/>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2513715984864624"/>
          <c:y val="0.31503472222222223"/>
          <c:w val="0.1512701692494749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Data'!$E$210</c:f>
              <c:strCache>
                <c:ptCount val="1"/>
                <c:pt idx="0">
                  <c:v>Skógar</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8E61-44F1-A1D4-8DFE662C9383}"/>
            </c:ext>
          </c:extLst>
        </c:ser>
        <c:ser>
          <c:idx val="2"/>
          <c:order val="1"/>
          <c:tx>
            <c:strRef>
              <c:f>'Talnagögn | Numerical Data'!$E$212</c:f>
              <c:strCache>
                <c:ptCount val="1"/>
                <c:pt idx="0">
                  <c:v>Mólendi</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8E61-44F1-A1D4-8DFE662C9383}"/>
            </c:ext>
          </c:extLst>
        </c:ser>
        <c:ser>
          <c:idx val="1"/>
          <c:order val="2"/>
          <c:tx>
            <c:strRef>
              <c:f>'Talnagögn | Numerical Data'!$E$211</c:f>
              <c:strCache>
                <c:ptCount val="1"/>
                <c:pt idx="0">
                  <c:v>Ræktað 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8E61-44F1-A1D4-8DFE662C9383}"/>
            </c:ext>
          </c:extLst>
        </c:ser>
        <c:ser>
          <c:idx val="3"/>
          <c:order val="3"/>
          <c:tx>
            <c:strRef>
              <c:f>'Talnagögn | Numerical Data'!$E$213</c:f>
              <c:strCache>
                <c:ptCount val="1"/>
                <c:pt idx="0">
                  <c:v>Votlendi</c:v>
                </c:pt>
              </c:strCache>
            </c:strRef>
          </c:tx>
          <c:spPr>
            <a:ln w="28575"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8E61-44F1-A1D4-8DFE662C9383}"/>
            </c:ext>
          </c:extLst>
        </c:ser>
        <c:ser>
          <c:idx val="5"/>
          <c:order val="4"/>
          <c:tx>
            <c:strRef>
              <c:f>'Talnagögn | Numerical Data'!$E$214</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8E61-44F1-A1D4-8DFE662C9383}"/>
            </c:ext>
          </c:extLst>
        </c:ser>
        <c:ser>
          <c:idx val="4"/>
          <c:order val="5"/>
          <c:tx>
            <c:v>Forestry WEM</c:v>
          </c:tx>
          <c:spPr>
            <a:ln w="19050" cap="rnd">
              <a:solidFill>
                <a:schemeClr val="bg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smooth val="0"/>
          <c:extLst>
            <c:ext xmlns:c16="http://schemas.microsoft.com/office/drawing/2014/chart" uri="{C3380CC4-5D6E-409C-BE32-E72D297353CC}">
              <c16:uniqueId val="{00000005-8E61-44F1-A1D4-8DFE662C9383}"/>
            </c:ext>
          </c:extLst>
        </c:ser>
        <c:ser>
          <c:idx val="7"/>
          <c:order val="6"/>
          <c:tx>
            <c:v>Mólendi WEM</c:v>
          </c:tx>
          <c:spPr>
            <a:ln w="19050" cap="rnd">
              <a:solidFill>
                <a:schemeClr val="tx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smooth val="0"/>
          <c:extLst>
            <c:ext xmlns:c16="http://schemas.microsoft.com/office/drawing/2014/chart" uri="{C3380CC4-5D6E-409C-BE32-E72D297353CC}">
              <c16:uniqueId val="{00000006-8E61-44F1-A1D4-8DFE662C9383}"/>
            </c:ext>
          </c:extLst>
        </c:ser>
        <c:ser>
          <c:idx val="6"/>
          <c:order val="7"/>
          <c:tx>
            <c:v>Ræktað land WEM</c:v>
          </c:tx>
          <c:spPr>
            <a:ln w="19050" cap="rnd">
              <a:solidFill>
                <a:schemeClr val="accent6"/>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smooth val="0"/>
          <c:extLst>
            <c:ext xmlns:c16="http://schemas.microsoft.com/office/drawing/2014/chart" uri="{C3380CC4-5D6E-409C-BE32-E72D297353CC}">
              <c16:uniqueId val="{00000007-8E61-44F1-A1D4-8DFE662C9383}"/>
            </c:ext>
          </c:extLst>
        </c:ser>
        <c:ser>
          <c:idx val="8"/>
          <c:order val="8"/>
          <c:tx>
            <c:v>Votlendi WEM</c:v>
          </c:tx>
          <c:spPr>
            <a:ln w="19050" cap="rnd">
              <a:solidFill>
                <a:srgbClr val="338DE9"/>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smooth val="0"/>
          <c:extLst>
            <c:ext xmlns:c16="http://schemas.microsoft.com/office/drawing/2014/chart" uri="{C3380CC4-5D6E-409C-BE32-E72D297353CC}">
              <c16:uniqueId val="{00000008-8E61-44F1-A1D4-8DFE662C9383}"/>
            </c:ext>
          </c:extLst>
        </c:ser>
        <c:ser>
          <c:idx val="9"/>
          <c:order val="9"/>
          <c:tx>
            <c:v>Annað WEM</c:v>
          </c:tx>
          <c:spPr>
            <a:ln w="19050" cap="rnd">
              <a:solidFill>
                <a:schemeClr val="tx1"/>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smooth val="0"/>
          <c:extLst>
            <c:ext xmlns:c16="http://schemas.microsoft.com/office/drawing/2014/chart" uri="{C3380CC4-5D6E-409C-BE32-E72D297353CC}">
              <c16:uniqueId val="{00000009-8E61-44F1-A1D4-8DFE662C9383}"/>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81575720595644E-2"/>
          <c:y val="5.5212553689404496E-2"/>
          <c:w val="0.63646811594202901"/>
          <c:h val="0.84745593834506783"/>
        </c:manualLayout>
      </c:layout>
      <c:barChart>
        <c:barDir val="col"/>
        <c:grouping val="stacked"/>
        <c:varyColors val="0"/>
        <c:ser>
          <c:idx val="2"/>
          <c:order val="0"/>
          <c:tx>
            <c:strRef>
              <c:f>'Talnagögn | Numerical Data'!$E$324</c:f>
              <c:strCache>
                <c:ptCount val="1"/>
                <c:pt idx="0">
                  <c:v>Álframleiðsla</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86F5-4CBE-9AE8-C5193EE4711A}"/>
            </c:ext>
          </c:extLst>
        </c:ser>
        <c:ser>
          <c:idx val="1"/>
          <c:order val="1"/>
          <c:tx>
            <c:strRef>
              <c:f>'Talnagögn | Numerical Data'!$E$323</c:f>
              <c:strCache>
                <c:ptCount val="1"/>
                <c:pt idx="0">
                  <c:v>Kísil- og kísilmálmframleiðsla</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86F5-4CBE-9AE8-C5193EE4711A}"/>
            </c:ext>
          </c:extLst>
        </c:ser>
        <c:ser>
          <c:idx val="0"/>
          <c:order val="2"/>
          <c:tx>
            <c:strRef>
              <c:f>'Talnagögn | Numerical Data'!$E$322</c:f>
              <c:strCache>
                <c:ptCount val="1"/>
                <c:pt idx="0">
                  <c:v>Eldsneytisbruni, staðbundinn iðnaður</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86F5-4CBE-9AE8-C5193EE4711A}"/>
            </c:ext>
          </c:extLst>
        </c:ser>
        <c:dLbls>
          <c:showLegendKey val="0"/>
          <c:showVal val="0"/>
          <c:showCatName val="0"/>
          <c:showSerName val="0"/>
          <c:showPercent val="0"/>
          <c:showBubbleSize val="0"/>
        </c:dLbls>
        <c:gapWidth val="75"/>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0544238779148612E-3"/>
              <c:y val="0.184204159231051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74208925120772951"/>
          <c:y val="0.31462962962962965"/>
          <c:w val="0.23356739130434787"/>
          <c:h val="0.3757777777777777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5.2217136371527612E-2"/>
          <c:w val="0.6277817854058062"/>
          <c:h val="0.85048003419881979"/>
        </c:manualLayout>
      </c:layout>
      <c:barChart>
        <c:barDir val="col"/>
        <c:grouping val="stacked"/>
        <c:varyColors val="0"/>
        <c:ser>
          <c:idx val="2"/>
          <c:order val="0"/>
          <c:tx>
            <c:strRef>
              <c:f>'Talnagögn | Numerical Data'!$E$324</c:f>
              <c:strCache>
                <c:ptCount val="1"/>
                <c:pt idx="0">
                  <c:v>Álframleiðsla</c:v>
                </c:pt>
              </c:strCache>
            </c:strRef>
          </c:tx>
          <c:spPr>
            <a:solidFill>
              <a:schemeClr val="accent5">
                <a:lumMod val="60000"/>
                <a:lumOff val="40000"/>
              </a:schemeClr>
            </a:solidFill>
            <a:ln>
              <a:solidFill>
                <a:srgbClr val="9D8E90"/>
              </a:solid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481B-4258-83F8-3BA6629EA137}"/>
            </c:ext>
          </c:extLst>
        </c:ser>
        <c:ser>
          <c:idx val="1"/>
          <c:order val="1"/>
          <c:tx>
            <c:strRef>
              <c:f>'Talnagögn | Numerical Data'!$E$323</c:f>
              <c:strCache>
                <c:ptCount val="1"/>
                <c:pt idx="0">
                  <c:v>Kísil- og kísilmálmframleiðsla</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481B-4258-83F8-3BA6629EA137}"/>
            </c:ext>
          </c:extLst>
        </c:ser>
        <c:ser>
          <c:idx val="0"/>
          <c:order val="2"/>
          <c:tx>
            <c:strRef>
              <c:f>'Talnagögn | Numerical Data'!$E$322</c:f>
              <c:strCache>
                <c:ptCount val="1"/>
                <c:pt idx="0">
                  <c:v>Eldsneytisbruni, staðbundinn iðnaður</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481B-4258-83F8-3BA6629EA137}"/>
            </c:ext>
          </c:extLst>
        </c:ser>
        <c:ser>
          <c:idx val="3"/>
          <c:order val="3"/>
          <c:tx>
            <c:v>Ál WEM</c:v>
          </c:tx>
          <c:spPr>
            <a:solidFill>
              <a:schemeClr val="accent5">
                <a:lumMod val="60000"/>
                <a:lumOff val="40000"/>
                <a:alpha val="2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4-481B-4258-83F8-3BA6629EA137}"/>
              </c:ext>
            </c:extLst>
          </c:dPt>
          <c:dPt>
            <c:idx val="20"/>
            <c:invertIfNegative val="0"/>
            <c:bubble3D val="0"/>
            <c:spPr>
              <a:noFill/>
              <a:ln>
                <a:noFill/>
                <a:prstDash val="dash"/>
              </a:ln>
              <a:effectLst/>
            </c:spPr>
            <c:extLst>
              <c:ext xmlns:c16="http://schemas.microsoft.com/office/drawing/2014/chart" uri="{C3380CC4-5D6E-409C-BE32-E72D297353CC}">
                <c16:uniqueId val="{00000003-1283-4B30-B925-C56E1D0F5861}"/>
              </c:ext>
            </c:extLst>
          </c:dPt>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extLst>
            <c:ext xmlns:c16="http://schemas.microsoft.com/office/drawing/2014/chart" uri="{C3380CC4-5D6E-409C-BE32-E72D297353CC}">
              <c16:uniqueId val="{00000005-481B-4258-83F8-3BA6629EA137}"/>
            </c:ext>
          </c:extLst>
        </c:ser>
        <c:ser>
          <c:idx val="4"/>
          <c:order val="4"/>
          <c:tx>
            <c:v>Kísil WEM</c:v>
          </c:tx>
          <c:spPr>
            <a:solidFill>
              <a:schemeClr val="accent6">
                <a:alpha val="20000"/>
              </a:schemeClr>
            </a:solidFill>
            <a:ln>
              <a:noFill/>
              <a:prstDash val="dash"/>
            </a:ln>
            <a:effectLst/>
          </c:spPr>
          <c:invertIfNegative val="0"/>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extLst>
            <c:ext xmlns:c16="http://schemas.microsoft.com/office/drawing/2014/chart" uri="{C3380CC4-5D6E-409C-BE32-E72D297353CC}">
              <c16:uniqueId val="{00000006-481B-4258-83F8-3BA6629EA137}"/>
            </c:ext>
          </c:extLst>
        </c:ser>
        <c:ser>
          <c:idx val="5"/>
          <c:order val="5"/>
          <c:tx>
            <c:v>Eldsneytis stationary WEM</c:v>
          </c:tx>
          <c:spPr>
            <a:solidFill>
              <a:schemeClr val="tx1">
                <a:alpha val="20000"/>
              </a:schemeClr>
            </a:solidFill>
            <a:ln>
              <a:noFill/>
              <a:prstDash val="dash"/>
            </a:ln>
            <a:effectLst/>
          </c:spPr>
          <c:invertIfNegative val="0"/>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extLst>
            <c:ext xmlns:c16="http://schemas.microsoft.com/office/drawing/2014/chart" uri="{C3380CC4-5D6E-409C-BE32-E72D297353CC}">
              <c16:uniqueId val="{00000007-481B-4258-83F8-3BA6629EA137}"/>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1701609347017159E-5"/>
              <c:y val="0.175428890660678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ayout>
        <c:manualLayout>
          <c:xMode val="edge"/>
          <c:yMode val="edge"/>
          <c:x val="0.74202077294685986"/>
          <c:y val="0.32386210677853766"/>
          <c:w val="0.22588213466468762"/>
          <c:h val="0.3453953733548103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8591938147271683"/>
          <c:h val="0.79417416501448834"/>
        </c:manualLayout>
      </c:layout>
      <c:barChart>
        <c:barDir val="col"/>
        <c:grouping val="stacked"/>
        <c:varyColors val="0"/>
        <c:ser>
          <c:idx val="2"/>
          <c:order val="0"/>
          <c:tx>
            <c:strRef>
              <c:f>'Talnagögn | Numerical Data'!$G$324</c:f>
              <c:strCache>
                <c:ptCount val="1"/>
                <c:pt idx="0">
                  <c:v>Aluminium Production</c:v>
                </c:pt>
              </c:strCache>
            </c:strRef>
          </c:tx>
          <c:spPr>
            <a:solidFill>
              <a:schemeClr val="accent5">
                <a:lumMod val="60000"/>
                <a:lumOff val="4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87C0-4234-97C6-3929290FFFAF}"/>
            </c:ext>
          </c:extLst>
        </c:ser>
        <c:ser>
          <c:idx val="1"/>
          <c:order val="1"/>
          <c:tx>
            <c:strRef>
              <c:f>'Talnagögn | Numerical Data'!$G$323</c:f>
              <c:strCache>
                <c:ptCount val="1"/>
                <c:pt idx="0">
                  <c:v>Ferrosilicon and Silicon Metal Production</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87C0-4234-97C6-3929290FFFAF}"/>
            </c:ext>
          </c:extLst>
        </c:ser>
        <c:ser>
          <c:idx val="0"/>
          <c:order val="2"/>
          <c:tx>
            <c:strRef>
              <c:f>'Talnagögn | Numerical Data'!$G$322</c:f>
              <c:strCache>
                <c:ptCount val="1"/>
                <c:pt idx="0">
                  <c:v>Fuel Combustion, Stationary Industry</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87C0-4234-97C6-3929290FFFAF}"/>
            </c:ext>
          </c:extLst>
        </c:ser>
        <c:ser>
          <c:idx val="3"/>
          <c:order val="3"/>
          <c:tx>
            <c:v>Ál WEM</c:v>
          </c:tx>
          <c:spPr>
            <a:solidFill>
              <a:schemeClr val="accent5">
                <a:lumMod val="60000"/>
                <a:lumOff val="40000"/>
                <a:alpha val="20000"/>
              </a:schemeClr>
            </a:solidFill>
            <a:ln>
              <a:noFill/>
            </a:ln>
            <a:effectLst/>
          </c:spPr>
          <c:invertIfNegative val="0"/>
          <c:dPt>
            <c:idx val="18"/>
            <c:invertIfNegative val="0"/>
            <c:bubble3D val="0"/>
            <c:spPr>
              <a:solidFill>
                <a:schemeClr val="accent5">
                  <a:lumMod val="60000"/>
                  <a:lumOff val="40000"/>
                  <a:alpha val="20000"/>
                </a:schemeClr>
              </a:solidFill>
              <a:ln>
                <a:noFill/>
              </a:ln>
              <a:effectLst/>
            </c:spPr>
            <c:extLst>
              <c:ext xmlns:c16="http://schemas.microsoft.com/office/drawing/2014/chart" uri="{C3380CC4-5D6E-409C-BE32-E72D297353CC}">
                <c16:uniqueId val="{00000004-87C0-4234-97C6-3929290FFFAF}"/>
              </c:ext>
            </c:extLst>
          </c:dPt>
          <c:dPt>
            <c:idx val="20"/>
            <c:invertIfNegative val="0"/>
            <c:bubble3D val="0"/>
            <c:spPr>
              <a:noFill/>
              <a:ln>
                <a:noFill/>
              </a:ln>
              <a:effectLst/>
            </c:spPr>
            <c:extLst>
              <c:ext xmlns:c16="http://schemas.microsoft.com/office/drawing/2014/chart" uri="{C3380CC4-5D6E-409C-BE32-E72D297353CC}">
                <c16:uniqueId val="{00000003-5F89-4C77-9713-F6FB28C5DD34}"/>
              </c:ext>
            </c:extLst>
          </c:dPt>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extLst>
            <c:ext xmlns:c16="http://schemas.microsoft.com/office/drawing/2014/chart" uri="{C3380CC4-5D6E-409C-BE32-E72D297353CC}">
              <c16:uniqueId val="{00000005-87C0-4234-97C6-3929290FFFAF}"/>
            </c:ext>
          </c:extLst>
        </c:ser>
        <c:ser>
          <c:idx val="4"/>
          <c:order val="4"/>
          <c:tx>
            <c:v>Kísil WEM</c:v>
          </c:tx>
          <c:spPr>
            <a:solidFill>
              <a:schemeClr val="accent6">
                <a:alpha val="20000"/>
              </a:schemeClr>
            </a:solidFill>
            <a:ln>
              <a:noFill/>
            </a:ln>
            <a:effectLst/>
          </c:spPr>
          <c:invertIfNegative val="0"/>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extLst>
            <c:ext xmlns:c16="http://schemas.microsoft.com/office/drawing/2014/chart" uri="{C3380CC4-5D6E-409C-BE32-E72D297353CC}">
              <c16:uniqueId val="{00000006-87C0-4234-97C6-3929290FFFAF}"/>
            </c:ext>
          </c:extLst>
        </c:ser>
        <c:ser>
          <c:idx val="5"/>
          <c:order val="5"/>
          <c:tx>
            <c:v>Eldsneytis stationary WEM</c:v>
          </c:tx>
          <c:spPr>
            <a:solidFill>
              <a:srgbClr val="EBE10F">
                <a:alpha val="20000"/>
              </a:srgbClr>
            </a:solidFill>
            <a:ln>
              <a:noFill/>
            </a:ln>
            <a:effectLst/>
          </c:spPr>
          <c:invertIfNegative val="0"/>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extLst>
            <c:ext xmlns:c16="http://schemas.microsoft.com/office/drawing/2014/chart" uri="{C3380CC4-5D6E-409C-BE32-E72D297353CC}">
              <c16:uniqueId val="{00000007-87C0-4234-97C6-3929290FFFAF}"/>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ayout>
        <c:manualLayout>
          <c:xMode val="edge"/>
          <c:yMode val="edge"/>
          <c:x val="0.69319263285024157"/>
          <c:y val="0.36140763888888883"/>
          <c:w val="0.30548176328502413"/>
          <c:h val="0.257873611111111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0391794446746794"/>
          <c:h val="0.8818801153092336"/>
        </c:manualLayout>
      </c:layout>
      <c:barChart>
        <c:barDir val="col"/>
        <c:grouping val="stacked"/>
        <c:varyColors val="0"/>
        <c:ser>
          <c:idx val="0"/>
          <c:order val="0"/>
          <c:tx>
            <c:strRef>
              <c:f>'Talnagögn | Numerical Data'!$G$284</c:f>
              <c:strCache>
                <c:ptCount val="1"/>
                <c:pt idx="0">
                  <c:v>Road Transport</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0C18-4BE6-9422-B02A0499417A}"/>
            </c:ext>
          </c:extLst>
        </c:ser>
        <c:ser>
          <c:idx val="2"/>
          <c:order val="1"/>
          <c:tx>
            <c:strRef>
              <c:f>'Talnagögn | Numerical Data'!$G$286</c:f>
              <c:strCache>
                <c:ptCount val="1"/>
                <c:pt idx="0">
                  <c:v>Agriculture</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0C18-4BE6-9422-B02A0499417A}"/>
            </c:ext>
          </c:extLst>
        </c:ser>
        <c:ser>
          <c:idx val="1"/>
          <c:order val="2"/>
          <c:tx>
            <c:strRef>
              <c:f>'Talnagögn | Numerical Data'!$G$285</c:f>
              <c:strCache>
                <c:ptCount val="1"/>
                <c:pt idx="0">
                  <c:v>Fishing</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0C18-4BE6-9422-B02A0499417A}"/>
            </c:ext>
          </c:extLst>
        </c:ser>
        <c:ser>
          <c:idx val="3"/>
          <c:order val="3"/>
          <c:tx>
            <c:strRef>
              <c:f>'Talnagögn | Numerical Data'!$G$287</c:f>
              <c:strCache>
                <c:ptCount val="1"/>
                <c:pt idx="0">
                  <c:v>Solid Waste Disposal on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0C18-4BE6-9422-B02A0499417A}"/>
            </c:ext>
          </c:extLst>
        </c:ser>
        <c:ser>
          <c:idx val="5"/>
          <c:order val="4"/>
          <c:tx>
            <c:strRef>
              <c:f>'Talnagögn | Numerical Data'!$G$289</c:f>
              <c:strCache>
                <c:ptCount val="1"/>
                <c:pt idx="0">
                  <c:v>Geothermal Energy</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0C18-4BE6-9422-B02A0499417A}"/>
            </c:ext>
          </c:extLst>
        </c:ser>
        <c:ser>
          <c:idx val="4"/>
          <c:order val="5"/>
          <c:tx>
            <c:strRef>
              <c:f>'Talnagögn | Numerical Data'!$G$288</c:f>
              <c:strCache>
                <c:ptCount val="1"/>
                <c:pt idx="0">
                  <c:v>F-Gases</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0C18-4BE6-9422-B02A0499417A}"/>
            </c:ext>
          </c:extLst>
        </c:ser>
        <c:ser>
          <c:idx val="6"/>
          <c:order val="6"/>
          <c:tx>
            <c:strRef>
              <c:f>'Talnagögn | Numerical Data'!$G$290</c:f>
              <c:strCache>
                <c:ptCount val="1"/>
                <c:pt idx="0">
                  <c:v>Off-Road Vehicles and Other Machinery</c:v>
                </c:pt>
              </c:strCache>
            </c:strRef>
          </c:tx>
          <c:spPr>
            <a:solidFill>
              <a:srgbClr val="0E547B"/>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0C18-4BE6-9422-B02A0499417A}"/>
            </c:ext>
          </c:extLst>
        </c:ser>
        <c:ser>
          <c:idx val="7"/>
          <c:order val="7"/>
          <c:tx>
            <c:strRef>
              <c:f>'Talnagögn | Numerical Data'!$G$294</c:f>
              <c:strCache>
                <c:ptCount val="1"/>
                <c:pt idx="0">
                  <c:v>Other Emissions</c:v>
                </c:pt>
              </c:strCache>
            </c:strRef>
          </c:tx>
          <c:spPr>
            <a:solidFill>
              <a:srgbClr val="DED9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0C18-4BE6-9422-B02A0499417A}"/>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ayout>
        <c:manualLayout>
          <c:xMode val="edge"/>
          <c:yMode val="edge"/>
          <c:x val="0.71338937895920906"/>
          <c:y val="0.20943597367115019"/>
          <c:w val="0.28661062104079094"/>
          <c:h val="0.622260967069220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59247800954353E-2"/>
          <c:y val="3.2068601556463468E-2"/>
          <c:w val="0.63233761398072352"/>
          <c:h val="0.87355283835817943"/>
        </c:manualLayout>
      </c:layout>
      <c:lineChart>
        <c:grouping val="standard"/>
        <c:varyColors val="0"/>
        <c:ser>
          <c:idx val="0"/>
          <c:order val="0"/>
          <c:tx>
            <c:strRef>
              <c:f>'Talnagögn | Numerical Data'!$G$284</c:f>
              <c:strCache>
                <c:ptCount val="1"/>
                <c:pt idx="0">
                  <c:v>Road Transport</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0367-4F1F-A734-46CCF74264D6}"/>
            </c:ext>
          </c:extLst>
        </c:ser>
        <c:ser>
          <c:idx val="2"/>
          <c:order val="1"/>
          <c:tx>
            <c:strRef>
              <c:f>'Talnagögn | Numerical Data'!$G$286</c:f>
              <c:strCache>
                <c:ptCount val="1"/>
                <c:pt idx="0">
                  <c:v>Agriculture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0367-4F1F-A734-46CCF74264D6}"/>
            </c:ext>
          </c:extLst>
        </c:ser>
        <c:ser>
          <c:idx val="1"/>
          <c:order val="2"/>
          <c:tx>
            <c:strRef>
              <c:f>'Talnagögn | Numerical Data'!$G$285</c:f>
              <c:strCache>
                <c:ptCount val="1"/>
                <c:pt idx="0">
                  <c:v>Fishing</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0367-4F1F-A734-46CCF74264D6}"/>
            </c:ext>
          </c:extLst>
        </c:ser>
        <c:ser>
          <c:idx val="3"/>
          <c:order val="3"/>
          <c:tx>
            <c:strRef>
              <c:f>'Talnagögn | Numerical Data'!$G$287</c:f>
              <c:strCache>
                <c:ptCount val="1"/>
                <c:pt idx="0">
                  <c:v>Solid Waste Disposal on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0367-4F1F-A734-46CCF74264D6}"/>
            </c:ext>
          </c:extLst>
        </c:ser>
        <c:ser>
          <c:idx val="5"/>
          <c:order val="4"/>
          <c:tx>
            <c:strRef>
              <c:f>'Talnagögn | Numerical Data'!$G$289</c:f>
              <c:strCache>
                <c:ptCount val="1"/>
                <c:pt idx="0">
                  <c:v>Geothermal Energy</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smooth val="0"/>
          <c:extLst>
            <c:ext xmlns:c16="http://schemas.microsoft.com/office/drawing/2014/chart" uri="{C3380CC4-5D6E-409C-BE32-E72D297353CC}">
              <c16:uniqueId val="{00000004-0367-4F1F-A734-46CCF74264D6}"/>
            </c:ext>
          </c:extLst>
        </c:ser>
        <c:ser>
          <c:idx val="7"/>
          <c:order val="5"/>
          <c:tx>
            <c:strRef>
              <c:f>'Talnagögn | Numerical Data'!$G$294</c:f>
              <c:strCache>
                <c:ptCount val="1"/>
                <c:pt idx="0">
                  <c:v>Other Emissions</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smooth val="0"/>
          <c:extLst>
            <c:ext xmlns:c16="http://schemas.microsoft.com/office/drawing/2014/chart" uri="{C3380CC4-5D6E-409C-BE32-E72D297353CC}">
              <c16:uniqueId val="{00000005-0367-4F1F-A734-46CCF74264D6}"/>
            </c:ext>
          </c:extLst>
        </c:ser>
        <c:ser>
          <c:idx val="4"/>
          <c:order val="6"/>
          <c:tx>
            <c:strRef>
              <c:f>'Talnagögn | Numerical Data'!$G$288</c:f>
              <c:strCache>
                <c:ptCount val="1"/>
                <c:pt idx="0">
                  <c:v>F-Gases</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smooth val="0"/>
          <c:extLst>
            <c:ext xmlns:c16="http://schemas.microsoft.com/office/drawing/2014/chart" uri="{C3380CC4-5D6E-409C-BE32-E72D297353CC}">
              <c16:uniqueId val="{00000006-0367-4F1F-A734-46CCF74264D6}"/>
            </c:ext>
          </c:extLst>
        </c:ser>
        <c:ser>
          <c:idx val="6"/>
          <c:order val="7"/>
          <c:tx>
            <c:strRef>
              <c:f>'Talnagögn | Numerical Data'!$G$290</c:f>
              <c:strCache>
                <c:ptCount val="1"/>
                <c:pt idx="0">
                  <c:v>Off-Road Vehicles and Other Machinery</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smooth val="0"/>
          <c:extLst>
            <c:ext xmlns:c16="http://schemas.microsoft.com/office/drawing/2014/chart" uri="{C3380CC4-5D6E-409C-BE32-E72D297353CC}">
              <c16:uniqueId val="{00000007-0367-4F1F-A734-46CCF74264D6}"/>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532681738526809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39269410759759"/>
          <c:y val="0.22471689814814816"/>
          <c:w val="0.25516089334986974"/>
          <c:h val="0.5565437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6719633568262E-2"/>
          <c:y val="3.3551653916010789E-2"/>
          <c:w val="0.86949249664252126"/>
          <c:h val="0.84532203203258294"/>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827F"/>
              </a:solidFill>
              <a:ln>
                <a:noFill/>
              </a:ln>
              <a:effectLst/>
            </c:spPr>
            <c:extLst>
              <c:ext xmlns:c16="http://schemas.microsoft.com/office/drawing/2014/chart" uri="{C3380CC4-5D6E-409C-BE32-E72D297353CC}">
                <c16:uniqueId val="{00000001-D4BB-4848-9631-07F7492460CF}"/>
              </c:ext>
            </c:extLst>
          </c:dPt>
          <c:dPt>
            <c:idx val="1"/>
            <c:invertIfNegative val="0"/>
            <c:bubble3D val="0"/>
            <c:spPr>
              <a:solidFill>
                <a:srgbClr val="FFBB8D"/>
              </a:solidFill>
              <a:ln>
                <a:noFill/>
              </a:ln>
              <a:effectLst/>
            </c:spPr>
            <c:extLst>
              <c:ext xmlns:c16="http://schemas.microsoft.com/office/drawing/2014/chart" uri="{C3380CC4-5D6E-409C-BE32-E72D297353CC}">
                <c16:uniqueId val="{00000003-D4BB-4848-9631-07F7492460CF}"/>
              </c:ext>
            </c:extLst>
          </c:dPt>
          <c:dPt>
            <c:idx val="2"/>
            <c:invertIfNegative val="0"/>
            <c:bubble3D val="0"/>
            <c:spPr>
              <a:solidFill>
                <a:srgbClr val="99E5DA"/>
              </a:solidFill>
              <a:ln>
                <a:noFill/>
              </a:ln>
              <a:effectLst/>
            </c:spPr>
            <c:extLst>
              <c:ext xmlns:c16="http://schemas.microsoft.com/office/drawing/2014/chart" uri="{C3380CC4-5D6E-409C-BE32-E72D297353CC}">
                <c16:uniqueId val="{00000005-D4BB-4848-9631-07F7492460CF}"/>
              </c:ext>
            </c:extLst>
          </c:dPt>
          <c:dPt>
            <c:idx val="3"/>
            <c:invertIfNegative val="0"/>
            <c:bubble3D val="0"/>
            <c:spPr>
              <a:solidFill>
                <a:srgbClr val="5E9FE8"/>
              </a:solidFill>
              <a:ln>
                <a:noFill/>
              </a:ln>
              <a:effectLst/>
            </c:spPr>
            <c:extLst>
              <c:ext xmlns:c16="http://schemas.microsoft.com/office/drawing/2014/chart" uri="{C3380CC4-5D6E-409C-BE32-E72D297353CC}">
                <c16:uniqueId val="{00000007-D4BB-4848-9631-07F7492460CF}"/>
              </c:ext>
            </c:extLst>
          </c:dPt>
          <c:dPt>
            <c:idx val="4"/>
            <c:invertIfNegative val="0"/>
            <c:bubble3D val="0"/>
            <c:spPr>
              <a:solidFill>
                <a:schemeClr val="tx1"/>
              </a:solidFill>
              <a:ln>
                <a:noFill/>
              </a:ln>
              <a:effectLst/>
            </c:spPr>
            <c:extLst>
              <c:ext xmlns:c16="http://schemas.microsoft.com/office/drawing/2014/chart" uri="{C3380CC4-5D6E-409C-BE32-E72D297353CC}">
                <c16:uniqueId val="{00000009-D4BB-4848-9631-07F7492460CF}"/>
              </c:ext>
            </c:extLst>
          </c:dPt>
          <c:cat>
            <c:strRef>
              <c:f>'Talnagögn | Numerical Data'!$E$336:$E$340</c:f>
              <c:strCache>
                <c:ptCount val="5"/>
                <c:pt idx="0">
                  <c:v>Skógar</c:v>
                </c:pt>
                <c:pt idx="1">
                  <c:v>Ræktað land</c:v>
                </c:pt>
                <c:pt idx="2">
                  <c:v>Mólendi</c:v>
                </c:pt>
                <c:pt idx="3">
                  <c:v>Votlendi</c:v>
                </c:pt>
                <c:pt idx="4">
                  <c:v>Annað</c:v>
                </c:pt>
              </c:strCache>
            </c:strRef>
          </c:cat>
          <c:val>
            <c:numRef>
              <c:f>'Talnagögn | Numerical Data'!$AP$336:$AP$340</c:f>
              <c:numCache>
                <c:formatCode>0</c:formatCode>
                <c:ptCount val="5"/>
                <c:pt idx="0">
                  <c:v>-536.85907215301847</c:v>
                </c:pt>
                <c:pt idx="1">
                  <c:v>1634.6762937066721</c:v>
                </c:pt>
                <c:pt idx="2">
                  <c:v>5022.5767323179289</c:v>
                </c:pt>
                <c:pt idx="3">
                  <c:v>17.149517784685631</c:v>
                </c:pt>
                <c:pt idx="4">
                  <c:v>25.005070861629974</c:v>
                </c:pt>
              </c:numCache>
            </c:numRef>
          </c:val>
          <c:extLst>
            <c:ext xmlns:c16="http://schemas.microsoft.com/office/drawing/2014/chart" uri="{C3380CC4-5D6E-409C-BE32-E72D297353CC}">
              <c16:uniqueId val="{0000000A-D4BB-4848-9631-07F7492460CF}"/>
            </c:ext>
          </c:extLst>
        </c:ser>
        <c:dLbls>
          <c:showLegendKey val="0"/>
          <c:showVal val="0"/>
          <c:showCatName val="0"/>
          <c:showSerName val="0"/>
          <c:showPercent val="0"/>
          <c:showBubbleSize val="0"/>
        </c:dLbls>
        <c:gapWidth val="182"/>
        <c:axId val="1441200768"/>
        <c:axId val="1441200408"/>
      </c:barChart>
      <c:catAx>
        <c:axId val="1441200768"/>
        <c:scaling>
          <c:orientation val="minMax"/>
        </c:scaling>
        <c:delete val="0"/>
        <c:axPos val="l"/>
        <c:numFmt formatCode="General" sourceLinked="1"/>
        <c:majorTickMark val="none"/>
        <c:minorTickMark val="none"/>
        <c:tickLblPos val="low"/>
        <c:spPr>
          <a:noFill/>
          <a:ln w="9525" cap="flat" cmpd="sng" algn="ctr">
            <a:solidFill>
              <a:schemeClr val="bg1">
                <a:lumMod val="9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41200408"/>
        <c:crosses val="autoZero"/>
        <c:auto val="1"/>
        <c:lblAlgn val="ctr"/>
        <c:lblOffset val="100"/>
        <c:noMultiLvlLbl val="0"/>
      </c:catAx>
      <c:valAx>
        <c:axId val="144120040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p>
            </c:rich>
          </c:tx>
          <c:layout>
            <c:manualLayout>
              <c:xMode val="edge"/>
              <c:yMode val="edge"/>
              <c:x val="0.34450833333333336"/>
              <c:y val="0.949640972222222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200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4628515625"/>
          <c:y val="6.3361111111111118E-2"/>
          <c:w val="0.49759947916666669"/>
          <c:h val="0.88462129629629627"/>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722-4CAF-BED2-EBD442EFE93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722-4CAF-BED2-EBD442EFE93C}"/>
              </c:ext>
            </c:extLst>
          </c:dPt>
          <c:dPt>
            <c:idx val="2"/>
            <c:bubble3D val="0"/>
            <c:spPr>
              <a:solidFill>
                <a:schemeClr val="tx2"/>
              </a:solidFill>
              <a:ln w="19050">
                <a:solidFill>
                  <a:schemeClr val="lt1"/>
                </a:solidFill>
              </a:ln>
              <a:effectLst/>
            </c:spPr>
            <c:extLst>
              <c:ext xmlns:c16="http://schemas.microsoft.com/office/drawing/2014/chart" uri="{C3380CC4-5D6E-409C-BE32-E72D297353CC}">
                <c16:uniqueId val="{00000005-B722-4CAF-BED2-EBD442EFE93C}"/>
              </c:ext>
            </c:extLst>
          </c:dPt>
          <c:dPt>
            <c:idx val="3"/>
            <c:bubble3D val="0"/>
            <c:spPr>
              <a:solidFill>
                <a:srgbClr val="FF7A64"/>
              </a:solidFill>
              <a:ln w="19050">
                <a:solidFill>
                  <a:schemeClr val="lt1"/>
                </a:solidFill>
              </a:ln>
              <a:effectLst/>
            </c:spPr>
            <c:extLst>
              <c:ext xmlns:c16="http://schemas.microsoft.com/office/drawing/2014/chart" uri="{C3380CC4-5D6E-409C-BE32-E72D297353CC}">
                <c16:uniqueId val="{00000007-B722-4CAF-BED2-EBD442EFE93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8-919B-43FB-BE96-F6767F8BAD22}"/>
              </c:ext>
            </c:extLst>
          </c:dPt>
          <c:dLbls>
            <c:dLbl>
              <c:idx val="0"/>
              <c:layout>
                <c:manualLayout>
                  <c:x val="0.23681311875418717"/>
                  <c:y val="0.14556424483676736"/>
                </c:manualLayout>
              </c:layout>
              <c:tx>
                <c:rich>
                  <a:bodyPr/>
                  <a:lstStyle/>
                  <a:p>
                    <a:r>
                      <a:rPr lang="en-US" sz="1200" b="1"/>
                      <a:t>Samfélagslosun</a:t>
                    </a:r>
                    <a:endParaRPr lang="en-US" b="1" baseline="0"/>
                  </a:p>
                  <a:p>
                    <a:fld id="{434012F1-7D05-428E-A073-9BB80F980C98}" type="VALUE">
                      <a:rPr lang="en-US"/>
                      <a:pPr/>
                      <a:t>[VALUE]</a:t>
                    </a:fld>
                    <a:r>
                      <a:rPr lang="en-US"/>
                      <a:t> </a:t>
                    </a:r>
                    <a:r>
                      <a:rPr lang="en-US" sz="1100" b="0" i="0" u="none" strike="noStrike" kern="1200" baseline="0">
                        <a:solidFill>
                          <a:sysClr val="windowText" lastClr="000000"/>
                        </a:solidFill>
                      </a:rPr>
                      <a:t>þús. tonn CO₂-íg.</a:t>
                    </a:r>
                    <a:endParaRPr lang="en-US" baseline="0"/>
                  </a:p>
                  <a:p>
                    <a:fld id="{146AD48A-2C81-41AB-8E05-558C9B077E63}"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B722-4CAF-BED2-EBD442EFE93C}"/>
                </c:ext>
              </c:extLst>
            </c:dLbl>
            <c:dLbl>
              <c:idx val="1"/>
              <c:delete val="1"/>
              <c:extLst>
                <c:ext xmlns:c15="http://schemas.microsoft.com/office/drawing/2012/chart" uri="{CE6537A1-D6FC-4f65-9D91-7224C49458BB}"/>
                <c:ext xmlns:c16="http://schemas.microsoft.com/office/drawing/2014/chart" uri="{C3380CC4-5D6E-409C-BE32-E72D297353CC}">
                  <c16:uniqueId val="{00000003-B722-4CAF-BED2-EBD442EFE93C}"/>
                </c:ext>
              </c:extLst>
            </c:dLbl>
            <c:dLbl>
              <c:idx val="2"/>
              <c:layout>
                <c:manualLayout>
                  <c:x val="-0.2429866208917999"/>
                  <c:y val="-0.18962631427038115"/>
                </c:manualLayout>
              </c:layout>
              <c:tx>
                <c:rich>
                  <a:bodyPr/>
                  <a:lstStyle/>
                  <a:p>
                    <a:r>
                      <a:rPr lang="en-US" sz="1200" b="1"/>
                      <a:t>Landnotkun</a:t>
                    </a:r>
                    <a:endParaRPr lang="en-US" b="1" baseline="0"/>
                  </a:p>
                  <a:p>
                    <a:fld id="{039C6528-AD53-4F88-A7BA-69EADC9F42D1}" type="VALUE">
                      <a:rPr lang="en-US"/>
                      <a:pPr/>
                      <a:t>[VALUE]</a:t>
                    </a:fld>
                    <a:r>
                      <a:rPr lang="en-US"/>
                      <a:t> þús. tonn CO</a:t>
                    </a:r>
                    <a:r>
                      <a:rPr lang="en-US" baseline="-25000"/>
                      <a:t>₂</a:t>
                    </a:r>
                    <a:r>
                      <a:rPr lang="en-US"/>
                      <a:t>-íg.</a:t>
                    </a:r>
                    <a:endParaRPr lang="en-US" baseline="0"/>
                  </a:p>
                  <a:p>
                    <a:fld id="{8C66DDBB-79A1-4BE0-A5E1-D40D0BCA548C}"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B722-4CAF-BED2-EBD442EFE93C}"/>
                </c:ext>
              </c:extLst>
            </c:dLbl>
            <c:dLbl>
              <c:idx val="3"/>
              <c:layout>
                <c:manualLayout>
                  <c:x val="0.2175912746994641"/>
                  <c:y val="-0.15429809952697354"/>
                </c:manualLayout>
              </c:layout>
              <c:tx>
                <c:rich>
                  <a:bodyPr/>
                  <a:lstStyle/>
                  <a:p>
                    <a:r>
                      <a:rPr lang="en-US" sz="1200" b="1"/>
                      <a:t>ETS staðbundinn iðnaður</a:t>
                    </a:r>
                  </a:p>
                  <a:p>
                    <a:r>
                      <a:rPr lang="en-US" sz="1100" b="0"/>
                      <a:t>1889 þús. tonn CO₂-íg. </a:t>
                    </a:r>
                  </a:p>
                  <a:p>
                    <a:r>
                      <a:rPr lang="en-US" sz="1100" b="0"/>
                      <a:t>17%</a:t>
                    </a:r>
                    <a:endParaRPr lang="en-US" sz="1050" b="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124719921083284"/>
                      <c:h val="0.18867097552113718"/>
                    </c:manualLayout>
                  </c15:layout>
                  <c15:showDataLabelsRange val="0"/>
                </c:ext>
                <c:ext xmlns:c16="http://schemas.microsoft.com/office/drawing/2014/chart" uri="{C3380CC4-5D6E-409C-BE32-E72D297353CC}">
                  <c16:uniqueId val="{00000007-B722-4CAF-BED2-EBD442EFE93C}"/>
                </c:ext>
              </c:extLst>
            </c:dLbl>
            <c:dLbl>
              <c:idx val="4"/>
              <c:layout>
                <c:manualLayout>
                  <c:x val="0.23066212865667571"/>
                  <c:y val="3.4935418760824191E-2"/>
                </c:manualLayout>
              </c:layout>
              <c:tx>
                <c:rich>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r>
                      <a:rPr lang="en-US" sz="1200" b="1"/>
                      <a:t>Innanlandsflug (CO₂)</a:t>
                    </a:r>
                    <a:endParaRPr lang="en-US" baseline="0"/>
                  </a:p>
                  <a:p>
                    <a:pPr>
                      <a:defRPr sz="1100">
                        <a:solidFill>
                          <a:sysClr val="windowText" lastClr="000000"/>
                        </a:solidFill>
                      </a:defRPr>
                    </a:pPr>
                    <a:fld id="{F16CDF37-C4AB-4546-B75C-EA8BA813CDAD}" type="VALUE">
                      <a:rPr lang="en-US"/>
                      <a:pPr>
                        <a:defRPr sz="1100">
                          <a:solidFill>
                            <a:sysClr val="windowText" lastClr="000000"/>
                          </a:solidFill>
                        </a:defRPr>
                      </a:pPr>
                      <a:t>[VALUE]</a:t>
                    </a:fld>
                    <a:r>
                      <a:rPr lang="en-US"/>
                      <a:t> </a:t>
                    </a:r>
                    <a:r>
                      <a:rPr lang="en-US" sz="1100" b="0" i="0" u="none" strike="noStrike" kern="1200" baseline="0">
                        <a:solidFill>
                          <a:sysClr val="windowText" lastClr="000000"/>
                        </a:solidFill>
                      </a:rPr>
                      <a:t>þús. tonn CO₂-íg.</a:t>
                    </a:r>
                    <a:endParaRPr lang="en-US" baseline="0"/>
                  </a:p>
                  <a:p>
                    <a:pPr>
                      <a:defRPr sz="1100">
                        <a:solidFill>
                          <a:sysClr val="windowText" lastClr="000000"/>
                        </a:solidFill>
                      </a:defRPr>
                    </a:pPr>
                    <a:fld id="{7654823B-7DFF-49A3-A3E2-C251CE0DBDC7}" type="PERCENTAGE">
                      <a:rPr lang="en-US"/>
                      <a:pPr>
                        <a:defRPr sz="11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8-919B-43FB-BE96-F6767F8BAD22}"/>
                </c:ext>
              </c:extLst>
            </c:dLbl>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val>
            <c:numRef>
              <c:f>'Skuldbindingar | Obligations'!$F$9:$F$13</c:f>
              <c:numCache>
                <c:formatCode>0</c:formatCode>
                <c:ptCount val="5"/>
                <c:pt idx="0">
                  <c:v>2793.7564234823058</c:v>
                </c:pt>
                <c:pt idx="1">
                  <c:v>0</c:v>
                </c:pt>
                <c:pt idx="2">
                  <c:v>6080.3410384327608</c:v>
                </c:pt>
                <c:pt idx="3">
                  <c:v>1676.5843667418656</c:v>
                </c:pt>
                <c:pt idx="4">
                  <c:v>19.074136583333335</c:v>
                </c:pt>
              </c:numCache>
            </c:numRef>
          </c:val>
          <c:extLst>
            <c:ext xmlns:c15="http://schemas.microsoft.com/office/drawing/2012/chart" uri="{02D57815-91ED-43cb-92C2-25804820EDAC}">
              <c15:filteredSeriesTitle>
                <c15:tx>
                  <c:strRef>
                    <c:extLst>
                      <c:ext uri="{02D57815-91ED-43cb-92C2-25804820EDAC}">
                        <c15:formulaRef>
                          <c15:sqref>'Skuldbindingar | Obligations'!#REF!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'Skuldbindingar | Obligations'!$A$15:$A$18</c15:sqref>
                        </c15:formulaRef>
                      </c:ext>
                    </c:extLst>
                  </c:multiLvlStrRef>
                </c15:cat>
              </c15:filteredCategoryTitle>
            </c:ext>
            <c:ext xmlns:c16="http://schemas.microsoft.com/office/drawing/2014/chart" uri="{C3380CC4-5D6E-409C-BE32-E72D297353CC}">
              <c16:uniqueId val="{00000008-B722-4CAF-BED2-EBD442EFE93C}"/>
            </c:ext>
          </c:extLst>
        </c:ser>
        <c:dLbls>
          <c:showLegendKey val="0"/>
          <c:showVal val="0"/>
          <c:showCatName val="0"/>
          <c:showSerName val="0"/>
          <c:showPercent val="0"/>
          <c:showBubbleSize val="0"/>
          <c:showLeaderLines val="1"/>
        </c:dLbls>
        <c:firstSliceAng val="10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06972708885005E-2"/>
          <c:y val="2.2026271249592586E-2"/>
          <c:w val="0.63979348223651"/>
          <c:h val="0.8784005359672038"/>
        </c:manualLayout>
      </c:layout>
      <c:barChart>
        <c:barDir val="col"/>
        <c:grouping val="stacked"/>
        <c:varyColors val="0"/>
        <c:ser>
          <c:idx val="3"/>
          <c:order val="0"/>
          <c:tx>
            <c:strRef>
              <c:f>'Talnagögn | Numerical Data'!$E$267</c:f>
              <c:strCache>
                <c:ptCount val="1"/>
                <c:pt idx="0">
                  <c:v>Landnotkun</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1C30-40D7-A1E5-26DB64D071A0}"/>
            </c:ext>
          </c:extLst>
        </c:ser>
        <c:ser>
          <c:idx val="2"/>
          <c:order val="1"/>
          <c:tx>
            <c:strRef>
              <c:f>'Talnagögn | Numerical Data'!$E$266</c:f>
              <c:strCache>
                <c:ptCount val="1"/>
                <c:pt idx="0">
                  <c:v>Samfélagslosun</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1C30-40D7-A1E5-26DB64D071A0}"/>
            </c:ext>
          </c:extLst>
        </c:ser>
        <c:ser>
          <c:idx val="0"/>
          <c:order val="2"/>
          <c:tx>
            <c:strRef>
              <c:f>'Talnagögn | Numerical Data'!$E$264</c:f>
              <c:strCache>
                <c:ptCount val="1"/>
                <c:pt idx="0">
                  <c:v>ETS staðbundinn iðnaður</c:v>
                </c:pt>
              </c:strCache>
            </c:strRef>
          </c:tx>
          <c:spPr>
            <a:solidFill>
              <a:srgbClr val="FF7A64"/>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1C30-40D7-A1E5-26DB64D071A0}"/>
            </c:ext>
          </c:extLst>
        </c:ser>
        <c:ser>
          <c:idx val="1"/>
          <c:order val="3"/>
          <c:tx>
            <c:strRef>
              <c:f>'Talnagögn | Numerical Data'!$E$265</c:f>
              <c:strCache>
                <c:ptCount val="1"/>
                <c:pt idx="0">
                  <c:v>Innanlandsflug (CO₂)</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Data'!$X$265:$AP$265</c:f>
              <c:numCache>
                <c:formatCode>0</c:formatCode>
                <c:ptCount val="19"/>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numCache>
            </c:numRef>
          </c:val>
          <c:extLst>
            <c:ext xmlns:c16="http://schemas.microsoft.com/office/drawing/2014/chart" uri="{C3380CC4-5D6E-409C-BE32-E72D297353CC}">
              <c16:uniqueId val="{00000003-1C30-40D7-A1E5-26DB64D071A0}"/>
            </c:ext>
          </c:extLst>
        </c:ser>
        <c:ser>
          <c:idx val="4"/>
          <c:order val="4"/>
          <c:tx>
            <c:v>LULUCF WEM</c:v>
          </c:tx>
          <c:spPr>
            <a:solidFill>
              <a:schemeClr val="tx2">
                <a:alpha val="3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5-1C30-40D7-A1E5-26DB64D071A0}"/>
              </c:ext>
            </c:extLst>
          </c:dPt>
          <c:dPt>
            <c:idx val="20"/>
            <c:invertIfNegative val="0"/>
            <c:bubble3D val="0"/>
            <c:spPr>
              <a:noFill/>
              <a:ln>
                <a:noFill/>
                <a:prstDash val="dash"/>
              </a:ln>
              <a:effectLst/>
            </c:spPr>
            <c:extLst>
              <c:ext xmlns:c16="http://schemas.microsoft.com/office/drawing/2014/chart" uri="{C3380CC4-5D6E-409C-BE32-E72D297353CC}">
                <c16:uniqueId val="{00000003-C80D-46DD-8037-9FB49EE2A850}"/>
              </c:ext>
            </c:extLst>
          </c:dPt>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extLst>
            <c:ext xmlns:c16="http://schemas.microsoft.com/office/drawing/2014/chart" uri="{C3380CC4-5D6E-409C-BE32-E72D297353CC}">
              <c16:uniqueId val="{00000008-1C30-40D7-A1E5-26DB64D071A0}"/>
            </c:ext>
          </c:extLst>
        </c:ser>
        <c:ser>
          <c:idx val="5"/>
          <c:order val="5"/>
          <c:tx>
            <c:v>ESR WEM</c:v>
          </c:tx>
          <c:spPr>
            <a:solidFill>
              <a:schemeClr val="accent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extLst>
            <c:ext xmlns:c16="http://schemas.microsoft.com/office/drawing/2014/chart" uri="{C3380CC4-5D6E-409C-BE32-E72D297353CC}">
              <c16:uniqueId val="{00000009-1C30-40D7-A1E5-26DB64D071A0}"/>
            </c:ext>
          </c:extLst>
        </c:ser>
        <c:ser>
          <c:idx val="7"/>
          <c:order val="6"/>
          <c:tx>
            <c:v>ETS WEM</c:v>
          </c:tx>
          <c:spPr>
            <a:solidFill>
              <a:srgbClr val="FF7A64">
                <a:alpha val="30000"/>
              </a:srgb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extLst>
            <c:ext xmlns:c16="http://schemas.microsoft.com/office/drawing/2014/chart" uri="{C3380CC4-5D6E-409C-BE32-E72D297353CC}">
              <c16:uniqueId val="{0000000A-1C30-40D7-A1E5-26DB64D071A0}"/>
            </c:ext>
          </c:extLst>
        </c:ser>
        <c:ser>
          <c:idx val="8"/>
          <c:order val="7"/>
          <c:tx>
            <c:v>CO2 DomAvi WEM</c:v>
          </c:tx>
          <c:spPr>
            <a:solidFill>
              <a:schemeClr val="tx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extLst>
            <c:ext xmlns:c16="http://schemas.microsoft.com/office/drawing/2014/chart" uri="{C3380CC4-5D6E-409C-BE32-E72D297353CC}">
              <c16:uniqueId val="{0000000B-1C30-40D7-A1E5-26DB64D071A0}"/>
            </c:ext>
          </c:extLst>
        </c:ser>
        <c:dLbls>
          <c:showLegendKey val="0"/>
          <c:showVal val="0"/>
          <c:showCatName val="0"/>
          <c:showSerName val="0"/>
          <c:showPercent val="0"/>
          <c:showBubbleSize val="0"/>
        </c:dLbls>
        <c:gapWidth val="150"/>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6669967670788282E-4"/>
              <c:y val="0.113667926754689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5219694152996053"/>
          <c:y val="0.35694490740740736"/>
          <c:w val="0.20019999654591861"/>
          <c:h val="0.2771078703703703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a:t>Scenario:</a:t>
            </a:r>
            <a:endParaRPr lang="is-IS" sz="1200" b="0" baseline="0"/>
          </a:p>
          <a:p>
            <a:pPr>
              <a:defRPr/>
            </a:pPr>
            <a:r>
              <a:rPr lang="is-IS" sz="1200" b="0" baseline="0"/>
              <a:t>With Existing Measures</a:t>
            </a:r>
            <a:endParaRPr lang="is-IS" sz="1200" b="0"/>
          </a:p>
        </c:rich>
      </c:tx>
      <c:layout>
        <c:manualLayout>
          <c:xMode val="edge"/>
          <c:yMode val="edge"/>
          <c:x val="0.74492822966507177"/>
          <c:y val="0"/>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is-IS"/>
        </a:p>
      </c:txPr>
    </c:title>
    <c:autoTitleDeleted val="0"/>
    <c:plotArea>
      <c:layout>
        <c:manualLayout>
          <c:layoutTarget val="inner"/>
          <c:xMode val="edge"/>
          <c:yMode val="edge"/>
          <c:x val="9.3206972708885005E-2"/>
          <c:y val="2.2026271249592586E-2"/>
          <c:w val="0.63075989752777906"/>
          <c:h val="0.87240871070456838"/>
        </c:manualLayout>
      </c:layout>
      <c:barChart>
        <c:barDir val="col"/>
        <c:grouping val="stacked"/>
        <c:varyColors val="0"/>
        <c:ser>
          <c:idx val="3"/>
          <c:order val="0"/>
          <c:tx>
            <c:strRef>
              <c:f>'Skuldbindingar | Obligations'!$AC$11</c:f>
              <c:strCache>
                <c:ptCount val="1"/>
                <c:pt idx="0">
                  <c:v>LULUCF</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F122-423A-AB90-38F4919A06E5}"/>
            </c:ext>
          </c:extLst>
        </c:ser>
        <c:ser>
          <c:idx val="2"/>
          <c:order val="1"/>
          <c:tx>
            <c:strRef>
              <c:f>'Talnagögn | Numerical Data'!$G$266</c:f>
              <c:strCache>
                <c:ptCount val="1"/>
                <c:pt idx="0">
                  <c:v>ESR</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F122-423A-AB90-38F4919A06E5}"/>
            </c:ext>
          </c:extLst>
        </c:ser>
        <c:ser>
          <c:idx val="0"/>
          <c:order val="2"/>
          <c:tx>
            <c:strRef>
              <c:f>'Talnagögn | Numerical Data'!$G$264</c:f>
              <c:strCache>
                <c:ptCount val="1"/>
                <c:pt idx="0">
                  <c:v>ETS Stationary Industries</c:v>
                </c:pt>
              </c:strCache>
            </c:strRef>
          </c:tx>
          <c:spPr>
            <a:solidFill>
              <a:srgbClr val="FF7A64"/>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F122-423A-AB90-38F4919A06E5}"/>
            </c:ext>
          </c:extLst>
        </c:ser>
        <c:ser>
          <c:idx val="1"/>
          <c:order val="3"/>
          <c:tx>
            <c:strRef>
              <c:f>'Talnagögn | Numerical Data'!$G$265</c:f>
              <c:strCache>
                <c:ptCount val="1"/>
                <c:pt idx="0">
                  <c:v>Domestic Aviation (CO₂)</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Data'!$X$265:$AP$265</c:f>
              <c:numCache>
                <c:formatCode>0</c:formatCode>
                <c:ptCount val="19"/>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numCache>
            </c:numRef>
          </c:val>
          <c:extLst>
            <c:ext xmlns:c16="http://schemas.microsoft.com/office/drawing/2014/chart" uri="{C3380CC4-5D6E-409C-BE32-E72D297353CC}">
              <c16:uniqueId val="{00000003-F122-423A-AB90-38F4919A06E5}"/>
            </c:ext>
          </c:extLst>
        </c:ser>
        <c:ser>
          <c:idx val="4"/>
          <c:order val="4"/>
          <c:tx>
            <c:v>LULUCF WEM</c:v>
          </c:tx>
          <c:spPr>
            <a:solidFill>
              <a:schemeClr val="tx2">
                <a:alpha val="3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5-F122-423A-AB90-38F4919A06E5}"/>
              </c:ext>
            </c:extLst>
          </c:dPt>
          <c:dPt>
            <c:idx val="20"/>
            <c:invertIfNegative val="0"/>
            <c:bubble3D val="0"/>
            <c:spPr>
              <a:noFill/>
              <a:ln>
                <a:noFill/>
                <a:prstDash val="dash"/>
              </a:ln>
              <a:effectLst/>
            </c:spPr>
            <c:extLst>
              <c:ext xmlns:c16="http://schemas.microsoft.com/office/drawing/2014/chart" uri="{C3380CC4-5D6E-409C-BE32-E72D297353CC}">
                <c16:uniqueId val="{00000003-0E86-470C-BA1B-920748205B8B}"/>
              </c:ext>
            </c:extLst>
          </c:dPt>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extLst>
            <c:ext xmlns:c16="http://schemas.microsoft.com/office/drawing/2014/chart" uri="{C3380CC4-5D6E-409C-BE32-E72D297353CC}">
              <c16:uniqueId val="{00000008-F122-423A-AB90-38F4919A06E5}"/>
            </c:ext>
          </c:extLst>
        </c:ser>
        <c:ser>
          <c:idx val="5"/>
          <c:order val="5"/>
          <c:tx>
            <c:v>ESR WEM</c:v>
          </c:tx>
          <c:spPr>
            <a:solidFill>
              <a:schemeClr val="accent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extLst>
            <c:ext xmlns:c16="http://schemas.microsoft.com/office/drawing/2014/chart" uri="{C3380CC4-5D6E-409C-BE32-E72D297353CC}">
              <c16:uniqueId val="{00000009-F122-423A-AB90-38F4919A06E5}"/>
            </c:ext>
          </c:extLst>
        </c:ser>
        <c:ser>
          <c:idx val="7"/>
          <c:order val="6"/>
          <c:tx>
            <c:v>ETS WEM</c:v>
          </c:tx>
          <c:spPr>
            <a:solidFill>
              <a:srgbClr val="FF7A64">
                <a:alpha val="30000"/>
              </a:srgb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extLst>
            <c:ext xmlns:c16="http://schemas.microsoft.com/office/drawing/2014/chart" uri="{C3380CC4-5D6E-409C-BE32-E72D297353CC}">
              <c16:uniqueId val="{0000000A-F122-423A-AB90-38F4919A06E5}"/>
            </c:ext>
          </c:extLst>
        </c:ser>
        <c:ser>
          <c:idx val="8"/>
          <c:order val="7"/>
          <c:tx>
            <c:v>CO2 DomAvi WEM</c:v>
          </c:tx>
          <c:spPr>
            <a:solidFill>
              <a:schemeClr val="tx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extLst>
            <c:ext xmlns:c16="http://schemas.microsoft.com/office/drawing/2014/chart" uri="{C3380CC4-5D6E-409C-BE32-E72D297353CC}">
              <c16:uniqueId val="{0000000B-F122-423A-AB90-38F4919A06E5}"/>
            </c:ext>
          </c:extLst>
        </c:ser>
        <c:dLbls>
          <c:showLegendKey val="0"/>
          <c:showVal val="0"/>
          <c:showCatName val="0"/>
          <c:showSerName val="0"/>
          <c:showPercent val="0"/>
          <c:showBubbleSize val="0"/>
        </c:dLbls>
        <c:gapWidth val="150"/>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6669967670788282E-4"/>
              <c:y val="0.113667926754689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4164326465179864"/>
          <c:y val="0.35525249899389166"/>
          <c:w val="0.25835678064972578"/>
          <c:h val="0.308517880892810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774945709461806"/>
          <c:h val="0.85881501751795564"/>
        </c:manualLayout>
      </c:layout>
      <c:barChart>
        <c:barDir val="col"/>
        <c:grouping val="stacked"/>
        <c:varyColors val="0"/>
        <c:ser>
          <c:idx val="0"/>
          <c:order val="0"/>
          <c:tx>
            <c:strRef>
              <c:f>'Talnagögn | Numerical Data'!$E$284</c:f>
              <c:strCache>
                <c:ptCount val="1"/>
                <c:pt idx="0">
                  <c:v>Vegasamgöngur</c:v>
                </c:pt>
              </c:strCache>
            </c:strRef>
          </c:tx>
          <c:spPr>
            <a:solidFill>
              <a:schemeClr val="bg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29D1-474B-8CC2-E308BED393E9}"/>
            </c:ext>
          </c:extLst>
        </c:ser>
        <c:ser>
          <c:idx val="2"/>
          <c:order val="1"/>
          <c:tx>
            <c:strRef>
              <c:f>'Talnagögn | Numerical Data'!$E$286</c:f>
              <c:strCache>
                <c:ptCount val="1"/>
                <c:pt idx="0">
                  <c:v>Landbúnaður</c:v>
                </c:pt>
              </c:strCache>
            </c:strRef>
          </c:tx>
          <c:spPr>
            <a:solidFill>
              <a:srgbClr val="99E5DA"/>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29D1-474B-8CC2-E308BED393E9}"/>
            </c:ext>
          </c:extLst>
        </c:ser>
        <c:ser>
          <c:idx val="1"/>
          <c:order val="2"/>
          <c:tx>
            <c:strRef>
              <c:f>'Talnagögn | Numerical Data'!$E$285</c:f>
              <c:strCache>
                <c:ptCount val="1"/>
                <c:pt idx="0">
                  <c:v>Fiskiskip</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29D1-474B-8CC2-E308BED393E9}"/>
            </c:ext>
          </c:extLst>
        </c:ser>
        <c:ser>
          <c:idx val="3"/>
          <c:order val="3"/>
          <c:tx>
            <c:strRef>
              <c:f>'Talnagögn | Numerical Data'!$E$287</c:f>
              <c:strCache>
                <c:ptCount val="1"/>
                <c:pt idx="0">
                  <c:v>Urðun úrgangs</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29D1-474B-8CC2-E308BED393E9}"/>
            </c:ext>
          </c:extLst>
        </c:ser>
        <c:ser>
          <c:idx val="5"/>
          <c:order val="4"/>
          <c:tx>
            <c:strRef>
              <c:f>'Talnagögn | Numerical Data'!$E$289</c:f>
              <c:strCache>
                <c:ptCount val="1"/>
                <c:pt idx="0">
                  <c:v>Jarðvarmavirkjanir</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Data'!$X$289:$AX$289</c:f>
              <c:numCache>
                <c:formatCode>0</c:formatCode>
                <c:ptCount val="27"/>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29D1-474B-8CC2-E308BED393E9}"/>
            </c:ext>
          </c:extLst>
        </c:ser>
        <c:ser>
          <c:idx val="4"/>
          <c:order val="5"/>
          <c:tx>
            <c:strRef>
              <c:f>'Talnagögn | Numerical Data'!$E$288</c:f>
              <c:strCache>
                <c:ptCount val="1"/>
                <c:pt idx="0">
                  <c:v>Kælibúnaður (F-gös)</c:v>
                </c:pt>
              </c:strCache>
            </c:strRef>
          </c:tx>
          <c:spPr>
            <a:solidFill>
              <a:schemeClr val="accent3">
                <a:lumMod val="40000"/>
                <a:lumOff val="6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Data'!$X$288:$AX$288</c:f>
              <c:numCache>
                <c:formatCode>0</c:formatCode>
                <c:ptCount val="27"/>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29D1-474B-8CC2-E308BED393E9}"/>
            </c:ext>
          </c:extLst>
        </c:ser>
        <c:ser>
          <c:idx val="6"/>
          <c:order val="6"/>
          <c:tx>
            <c:strRef>
              <c:f>'Talnagögn | Numerical Data'!$E$290</c:f>
              <c:strCache>
                <c:ptCount val="1"/>
                <c:pt idx="0">
                  <c:v>Vélar og tæki</c:v>
                </c:pt>
              </c:strCache>
            </c:strRef>
          </c:tx>
          <c:spPr>
            <a:solidFill>
              <a:schemeClr val="accent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Data'!$X$290:$AX$290</c:f>
              <c:numCache>
                <c:formatCode>0</c:formatCode>
                <c:ptCount val="27"/>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29D1-474B-8CC2-E308BED393E9}"/>
            </c:ext>
          </c:extLst>
        </c:ser>
        <c:ser>
          <c:idx val="7"/>
          <c:order val="7"/>
          <c:tx>
            <c:strRef>
              <c:f>'Talnagögn | Numerical Data'!$E$294</c:f>
              <c:strCache>
                <c:ptCount val="1"/>
                <c:pt idx="0">
                  <c:v>Önnur losun</c:v>
                </c:pt>
              </c:strCache>
            </c:strRef>
          </c:tx>
          <c:spPr>
            <a:solidFill>
              <a:schemeClr val="accent5">
                <a:lumMod val="20000"/>
                <a:lumOff val="8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Data'!$X$294:$AX$294</c:f>
              <c:numCache>
                <c:formatCode>0</c:formatCode>
                <c:ptCount val="27"/>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29D1-474B-8CC2-E308BED393E9}"/>
            </c:ext>
          </c:extLst>
        </c:ser>
        <c:ser>
          <c:idx val="8"/>
          <c:order val="8"/>
          <c:spPr>
            <a:solidFill>
              <a:schemeClr val="bg2">
                <a:alpha val="30000"/>
              </a:scheme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1-3D18-4C2F-8ED1-A7159EDF5DAF}"/>
              </c:ext>
            </c:extLst>
          </c:dPt>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extLst>
            <c:ext xmlns:c16="http://schemas.microsoft.com/office/drawing/2014/chart" uri="{C3380CC4-5D6E-409C-BE32-E72D297353CC}">
              <c16:uniqueId val="{0000000A-29D1-474B-8CC2-E308BED393E9}"/>
            </c:ext>
          </c:extLst>
        </c:ser>
        <c:ser>
          <c:idx val="10"/>
          <c:order val="9"/>
          <c:spPr>
            <a:solidFill>
              <a:srgbClr val="99E5DA">
                <a:alpha val="30000"/>
              </a:srgb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3-3D18-4C2F-8ED1-A7159EDF5DAF}"/>
              </c:ext>
            </c:extLst>
          </c:dPt>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extLst>
            <c:ext xmlns:c16="http://schemas.microsoft.com/office/drawing/2014/chart" uri="{C3380CC4-5D6E-409C-BE32-E72D297353CC}">
              <c16:uniqueId val="{0000000D-29D1-474B-8CC2-E308BED393E9}"/>
            </c:ext>
          </c:extLst>
        </c:ser>
        <c:ser>
          <c:idx val="9"/>
          <c:order val="10"/>
          <c:spPr>
            <a:solidFill>
              <a:schemeClr val="accent1">
                <a:alpha val="30000"/>
              </a:schemeClr>
            </a:solidFill>
            <a:ln>
              <a:noFill/>
            </a:ln>
            <a:effectLst/>
          </c:spPr>
          <c:invertIfNegative val="0"/>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extLst>
            <c:ext xmlns:c16="http://schemas.microsoft.com/office/drawing/2014/chart" uri="{C3380CC4-5D6E-409C-BE32-E72D297353CC}">
              <c16:uniqueId val="{0000000E-29D1-474B-8CC2-E308BED393E9}"/>
            </c:ext>
          </c:extLst>
        </c:ser>
        <c:ser>
          <c:idx val="11"/>
          <c:order val="11"/>
          <c:tx>
            <c:v>Urðun proj</c:v>
          </c:tx>
          <c:spPr>
            <a:solidFill>
              <a:schemeClr val="accent6">
                <a:alpha val="30000"/>
              </a:schemeClr>
            </a:solidFill>
            <a:ln>
              <a:noFill/>
            </a:ln>
            <a:effectLst/>
          </c:spPr>
          <c:invertIfNegative val="0"/>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extLst>
            <c:ext xmlns:c16="http://schemas.microsoft.com/office/drawing/2014/chart" uri="{C3380CC4-5D6E-409C-BE32-E72D297353CC}">
              <c16:uniqueId val="{0000000F-29D1-474B-8CC2-E308BED393E9}"/>
            </c:ext>
          </c:extLst>
        </c:ser>
        <c:ser>
          <c:idx val="13"/>
          <c:order val="12"/>
          <c:spPr>
            <a:solidFill>
              <a:schemeClr val="tx2">
                <a:alpha val="30000"/>
              </a:schemeClr>
            </a:solidFill>
            <a:ln>
              <a:noFill/>
            </a:ln>
            <a:effectLst/>
          </c:spPr>
          <c:invertIfNegative val="0"/>
          <c:val>
            <c:numRef>
              <c:f>'Talnagögn | Numerical Data'!$X$303:$BV$303</c:f>
              <c:numCache>
                <c:formatCode>0</c:formatCode>
                <c:ptCount val="51"/>
                <c:pt idx="20">
                  <c:v>214.07609476451782</c:v>
                </c:pt>
                <c:pt idx="21">
                  <c:v>200.08931930544816</c:v>
                </c:pt>
                <c:pt idx="22">
                  <c:v>200.11599544820228</c:v>
                </c:pt>
                <c:pt idx="23">
                  <c:v>200.10978527269327</c:v>
                </c:pt>
                <c:pt idx="24">
                  <c:v>200.10503334211458</c:v>
                </c:pt>
                <c:pt idx="25">
                  <c:v>187.31167135433674</c:v>
                </c:pt>
                <c:pt idx="26">
                  <c:v>185.34216199016637</c:v>
                </c:pt>
                <c:pt idx="27">
                  <c:v>185.34168800695139</c:v>
                </c:pt>
                <c:pt idx="28">
                  <c:v>185.34264000619092</c:v>
                </c:pt>
                <c:pt idx="29">
                  <c:v>185.34216333443621</c:v>
                </c:pt>
                <c:pt idx="30">
                  <c:v>185.34216378252611</c:v>
                </c:pt>
                <c:pt idx="31">
                  <c:v>185.34232237438439</c:v>
                </c:pt>
                <c:pt idx="32">
                  <c:v>185.34221649711557</c:v>
                </c:pt>
                <c:pt idx="33">
                  <c:v>185.34223421800871</c:v>
                </c:pt>
                <c:pt idx="34">
                  <c:v>185.34225769650291</c:v>
                </c:pt>
                <c:pt idx="35">
                  <c:v>185.34223613720908</c:v>
                </c:pt>
                <c:pt idx="36">
                  <c:v>185.3422426839069</c:v>
                </c:pt>
                <c:pt idx="37">
                  <c:v>185.34224550587297</c:v>
                </c:pt>
                <c:pt idx="38">
                  <c:v>185.34224144232965</c:v>
                </c:pt>
                <c:pt idx="39">
                  <c:v>185.34224321070317</c:v>
                </c:pt>
                <c:pt idx="40">
                  <c:v>185.34224338630193</c:v>
                </c:pt>
                <c:pt idx="41">
                  <c:v>185.3422426797782</c:v>
                </c:pt>
                <c:pt idx="42">
                  <c:v>185.3422430922611</c:v>
                </c:pt>
                <c:pt idx="43">
                  <c:v>185.34224305278045</c:v>
                </c:pt>
                <c:pt idx="44">
                  <c:v>185.3422429416066</c:v>
                </c:pt>
                <c:pt idx="45">
                  <c:v>185.34224302888268</c:v>
                </c:pt>
                <c:pt idx="46">
                  <c:v>185.34224300775654</c:v>
                </c:pt>
                <c:pt idx="47">
                  <c:v>185.34224299274857</c:v>
                </c:pt>
                <c:pt idx="48">
                  <c:v>185.34224300979596</c:v>
                </c:pt>
                <c:pt idx="49">
                  <c:v>185.34224300343371</c:v>
                </c:pt>
                <c:pt idx="50">
                  <c:v>185.34224300199278</c:v>
                </c:pt>
              </c:numCache>
            </c:numRef>
          </c:val>
          <c:extLst>
            <c:ext xmlns:c16="http://schemas.microsoft.com/office/drawing/2014/chart" uri="{C3380CC4-5D6E-409C-BE32-E72D297353CC}">
              <c16:uniqueId val="{00000010-29D1-474B-8CC2-E308BED393E9}"/>
            </c:ext>
          </c:extLst>
        </c:ser>
        <c:ser>
          <c:idx val="12"/>
          <c:order val="13"/>
          <c:spPr>
            <a:solidFill>
              <a:schemeClr val="accent3">
                <a:lumMod val="40000"/>
                <a:lumOff val="60000"/>
                <a:alpha val="30000"/>
              </a:schemeClr>
            </a:solidFill>
            <a:ln>
              <a:noFill/>
            </a:ln>
            <a:effectLst/>
          </c:spPr>
          <c:invertIfNegative val="0"/>
          <c:val>
            <c:numRef>
              <c:f>'Talnagögn | Numerical Data'!$X$302:$BV$302</c:f>
              <c:numCache>
                <c:formatCode>0</c:formatCode>
                <c:ptCount val="51"/>
                <c:pt idx="20">
                  <c:v>105.65811164441938</c:v>
                </c:pt>
                <c:pt idx="21">
                  <c:v>83.939356753838709</c:v>
                </c:pt>
                <c:pt idx="22">
                  <c:v>89.415585047430667</c:v>
                </c:pt>
                <c:pt idx="23">
                  <c:v>43.40472654430534</c:v>
                </c:pt>
                <c:pt idx="24">
                  <c:v>28.595701920471573</c:v>
                </c:pt>
                <c:pt idx="25">
                  <c:v>35.0234903160204</c:v>
                </c:pt>
                <c:pt idx="26">
                  <c:v>17.253346767164082</c:v>
                </c:pt>
                <c:pt idx="27">
                  <c:v>18.009768312055179</c:v>
                </c:pt>
                <c:pt idx="28">
                  <c:v>24.723980294032209</c:v>
                </c:pt>
                <c:pt idx="29">
                  <c:v>14.28694724185282</c:v>
                </c:pt>
                <c:pt idx="30">
                  <c:v>8.928626854732892</c:v>
                </c:pt>
                <c:pt idx="31">
                  <c:v>9.4331922594709194</c:v>
                </c:pt>
                <c:pt idx="32">
                  <c:v>9.5333161155516493</c:v>
                </c:pt>
                <c:pt idx="33">
                  <c:v>9.5715916183487302</c:v>
                </c:pt>
                <c:pt idx="34">
                  <c:v>9.9802058863014569</c:v>
                </c:pt>
                <c:pt idx="35">
                  <c:v>10.355069313046386</c:v>
                </c:pt>
                <c:pt idx="36">
                  <c:v>10.708405895263525</c:v>
                </c:pt>
                <c:pt idx="37">
                  <c:v>10.805327528923454</c:v>
                </c:pt>
                <c:pt idx="38">
                  <c:v>10.913704570280276</c:v>
                </c:pt>
                <c:pt idx="39">
                  <c:v>10.997738385977007</c:v>
                </c:pt>
                <c:pt idx="40">
                  <c:v>11.06138423454213</c:v>
                </c:pt>
                <c:pt idx="41">
                  <c:v>11.190983630440373</c:v>
                </c:pt>
                <c:pt idx="42">
                  <c:v>11.51212490345165</c:v>
                </c:pt>
                <c:pt idx="43">
                  <c:v>11.29416127575184</c:v>
                </c:pt>
                <c:pt idx="44">
                  <c:v>11.200240169565182</c:v>
                </c:pt>
                <c:pt idx="45">
                  <c:v>11.197445895681135</c:v>
                </c:pt>
                <c:pt idx="46">
                  <c:v>11.042578034809972</c:v>
                </c:pt>
                <c:pt idx="47">
                  <c:v>10.912000717167739</c:v>
                </c:pt>
                <c:pt idx="48">
                  <c:v>10.818690929789394</c:v>
                </c:pt>
                <c:pt idx="49">
                  <c:v>10.774930000739039</c:v>
                </c:pt>
                <c:pt idx="50">
                  <c:v>10.767865370664548</c:v>
                </c:pt>
              </c:numCache>
            </c:numRef>
          </c:val>
          <c:extLst>
            <c:ext xmlns:c16="http://schemas.microsoft.com/office/drawing/2014/chart" uri="{C3380CC4-5D6E-409C-BE32-E72D297353CC}">
              <c16:uniqueId val="{00000011-29D1-474B-8CC2-E308BED393E9}"/>
            </c:ext>
          </c:extLst>
        </c:ser>
        <c:ser>
          <c:idx val="14"/>
          <c:order val="14"/>
          <c:spPr>
            <a:solidFill>
              <a:schemeClr val="accent2">
                <a:alpha val="30000"/>
              </a:schemeClr>
            </a:solidFill>
            <a:ln>
              <a:noFill/>
            </a:ln>
            <a:effectLst/>
          </c:spPr>
          <c:invertIfNegative val="0"/>
          <c:val>
            <c:numRef>
              <c:f>'Talnagögn | Numerical Data'!$X$304:$BV$304</c:f>
              <c:numCache>
                <c:formatCode>0</c:formatCode>
                <c:ptCount val="51"/>
                <c:pt idx="20">
                  <c:v>77.003200912657135</c:v>
                </c:pt>
                <c:pt idx="21">
                  <c:v>81.702333842233713</c:v>
                </c:pt>
                <c:pt idx="22">
                  <c:v>84.306045442719949</c:v>
                </c:pt>
                <c:pt idx="23">
                  <c:v>84.646265105608947</c:v>
                </c:pt>
                <c:pt idx="24">
                  <c:v>84.391526256694931</c:v>
                </c:pt>
                <c:pt idx="25">
                  <c:v>84.624152775755988</c:v>
                </c:pt>
                <c:pt idx="26">
                  <c:v>85.088104941370801</c:v>
                </c:pt>
                <c:pt idx="27">
                  <c:v>85.281255870015386</c:v>
                </c:pt>
                <c:pt idx="28">
                  <c:v>85.404119806920264</c:v>
                </c:pt>
                <c:pt idx="29">
                  <c:v>85.43222250992261</c:v>
                </c:pt>
                <c:pt idx="30">
                  <c:v>85.275751366965295</c:v>
                </c:pt>
                <c:pt idx="31">
                  <c:v>85.02538339503225</c:v>
                </c:pt>
                <c:pt idx="32">
                  <c:v>84.530231301975178</c:v>
                </c:pt>
                <c:pt idx="33">
                  <c:v>83.835944898316228</c:v>
                </c:pt>
                <c:pt idx="34">
                  <c:v>82.948604630454327</c:v>
                </c:pt>
                <c:pt idx="35">
                  <c:v>81.724112387839853</c:v>
                </c:pt>
                <c:pt idx="36">
                  <c:v>80.22374253159478</c:v>
                </c:pt>
                <c:pt idx="37">
                  <c:v>78.313475676339948</c:v>
                </c:pt>
                <c:pt idx="38">
                  <c:v>76.057402339672649</c:v>
                </c:pt>
                <c:pt idx="39">
                  <c:v>73.449950270563193</c:v>
                </c:pt>
                <c:pt idx="40">
                  <c:v>70.403514708034464</c:v>
                </c:pt>
                <c:pt idx="41">
                  <c:v>66.97314873915073</c:v>
                </c:pt>
                <c:pt idx="42">
                  <c:v>63.147917086299728</c:v>
                </c:pt>
                <c:pt idx="43">
                  <c:v>59.048923592147815</c:v>
                </c:pt>
                <c:pt idx="44">
                  <c:v>54.721254548823872</c:v>
                </c:pt>
                <c:pt idx="45">
                  <c:v>50.231045372831574</c:v>
                </c:pt>
                <c:pt idx="46">
                  <c:v>40.653889798626899</c:v>
                </c:pt>
                <c:pt idx="47">
                  <c:v>36.475635520827723</c:v>
                </c:pt>
                <c:pt idx="48">
                  <c:v>32.489126554652735</c:v>
                </c:pt>
                <c:pt idx="49">
                  <c:v>28.763222747455618</c:v>
                </c:pt>
                <c:pt idx="50">
                  <c:v>25.341442398861652</c:v>
                </c:pt>
              </c:numCache>
            </c:numRef>
          </c:val>
          <c:extLst>
            <c:ext xmlns:c16="http://schemas.microsoft.com/office/drawing/2014/chart" uri="{C3380CC4-5D6E-409C-BE32-E72D297353CC}">
              <c16:uniqueId val="{00000012-29D1-474B-8CC2-E308BED393E9}"/>
            </c:ext>
          </c:extLst>
        </c:ser>
        <c:ser>
          <c:idx val="15"/>
          <c:order val="15"/>
          <c:spPr>
            <a:solidFill>
              <a:schemeClr val="accent5">
                <a:lumMod val="40000"/>
                <a:lumOff val="60000"/>
                <a:alpha val="30000"/>
              </a:schemeClr>
            </a:solidFill>
            <a:ln>
              <a:noFill/>
            </a:ln>
            <a:effectLst/>
          </c:spPr>
          <c:invertIfNegative val="0"/>
          <c:val>
            <c:numRef>
              <c:f>'Talnagögn | Numerical Data'!$X$308:$BV$308</c:f>
              <c:numCache>
                <c:formatCode>0</c:formatCode>
                <c:ptCount val="51"/>
                <c:pt idx="20">
                  <c:v>144.31484060428602</c:v>
                </c:pt>
                <c:pt idx="21">
                  <c:v>144.12065041244978</c:v>
                </c:pt>
                <c:pt idx="22">
                  <c:v>148.70483231438493</c:v>
                </c:pt>
                <c:pt idx="23">
                  <c:v>150.79701950262506</c:v>
                </c:pt>
                <c:pt idx="24">
                  <c:v>146.85057515420931</c:v>
                </c:pt>
                <c:pt idx="25">
                  <c:v>141.91468976051237</c:v>
                </c:pt>
                <c:pt idx="26">
                  <c:v>137.72976294099544</c:v>
                </c:pt>
                <c:pt idx="27">
                  <c:v>134.92348443038236</c:v>
                </c:pt>
                <c:pt idx="28">
                  <c:v>140.95157332626104</c:v>
                </c:pt>
                <c:pt idx="29">
                  <c:v>140.27137025306911</c:v>
                </c:pt>
                <c:pt idx="30">
                  <c:v>135.05679155200869</c:v>
                </c:pt>
                <c:pt idx="31">
                  <c:v>134.31861760317065</c:v>
                </c:pt>
                <c:pt idx="32">
                  <c:v>133.49843347250885</c:v>
                </c:pt>
                <c:pt idx="33">
                  <c:v>132.79521322383448</c:v>
                </c:pt>
                <c:pt idx="34">
                  <c:v>132.00917977146833</c:v>
                </c:pt>
                <c:pt idx="35">
                  <c:v>131.11847630601255</c:v>
                </c:pt>
                <c:pt idx="36">
                  <c:v>129.93431544129635</c:v>
                </c:pt>
                <c:pt idx="37">
                  <c:v>128.73336585283459</c:v>
                </c:pt>
                <c:pt idx="38">
                  <c:v>127.52235910117065</c:v>
                </c:pt>
                <c:pt idx="39">
                  <c:v>126.30484061729771</c:v>
                </c:pt>
                <c:pt idx="40">
                  <c:v>125.05045636396585</c:v>
                </c:pt>
                <c:pt idx="41">
                  <c:v>123.79136756564139</c:v>
                </c:pt>
                <c:pt idx="42">
                  <c:v>122.5102666723044</c:v>
                </c:pt>
                <c:pt idx="43">
                  <c:v>121.18458395244011</c:v>
                </c:pt>
                <c:pt idx="44">
                  <c:v>119.78678264897167</c:v>
                </c:pt>
                <c:pt idx="45">
                  <c:v>118.10487474633555</c:v>
                </c:pt>
                <c:pt idx="46">
                  <c:v>116.86199016469595</c:v>
                </c:pt>
                <c:pt idx="47">
                  <c:v>115.60730201116394</c:v>
                </c:pt>
                <c:pt idx="48">
                  <c:v>114.35775224471558</c:v>
                </c:pt>
                <c:pt idx="49">
                  <c:v>113.11158412792588</c:v>
                </c:pt>
                <c:pt idx="50">
                  <c:v>111.85163223706331</c:v>
                </c:pt>
              </c:numCache>
            </c:numRef>
          </c:val>
          <c:extLst>
            <c:ext xmlns:c16="http://schemas.microsoft.com/office/drawing/2014/chart" uri="{C3380CC4-5D6E-409C-BE32-E72D297353CC}">
              <c16:uniqueId val="{00000013-29D1-474B-8CC2-E308BED393E9}"/>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ayout>
        <c:manualLayout>
          <c:xMode val="edge"/>
          <c:yMode val="edge"/>
          <c:x val="0.74000706758605694"/>
          <c:y val="0.22230941704035875"/>
          <c:w val="0.18787939194597222"/>
          <c:h val="0.55538116591928244"/>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n-US" sz="10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4816833603440671"/>
          <c:h val="0.87249074074074073"/>
        </c:manualLayout>
      </c:layout>
      <c:lineChart>
        <c:grouping val="standard"/>
        <c:varyColors val="0"/>
        <c:ser>
          <c:idx val="0"/>
          <c:order val="0"/>
          <c:tx>
            <c:strRef>
              <c:f>'Talnagögn | Numerical Data'!$E$284</c:f>
              <c:strCache>
                <c:ptCount val="1"/>
                <c:pt idx="0">
                  <c:v>Vegasamgöngur</c:v>
                </c:pt>
              </c:strCache>
            </c:strRef>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8DB3-4F18-B48D-3F8E74131CD1}"/>
            </c:ext>
          </c:extLst>
        </c:ser>
        <c:ser>
          <c:idx val="4"/>
          <c:order val="1"/>
          <c:tx>
            <c:strRef>
              <c:f>'Talnagögn | Numerical Data'!$E$297</c:f>
              <c:strCache>
                <c:ptCount val="1"/>
                <c:pt idx="0">
                  <c:v>Losunarspá: Sviðsmynd byggð á aðgerðum stjórnvalda</c:v>
                </c:pt>
              </c:strCache>
            </c:strRef>
          </c:tx>
          <c:spPr>
            <a:ln w="19050" cap="rnd">
              <a:solidFill>
                <a:schemeClr val="accent1"/>
              </a:solidFill>
              <a:prstDash val="dash"/>
              <a:round/>
            </a:ln>
            <a:effectLst/>
          </c:spPr>
          <c:marker>
            <c:symbol val="none"/>
          </c:marker>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8DB3-4F18-B48D-3F8E74131CD1}"/>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3199236401993739"/>
          <c:y val="0.32723587962962969"/>
          <c:w val="0.26667098870653405"/>
          <c:h val="0.31911898148148149"/>
        </c:manualLayout>
      </c:layout>
      <c:overlay val="0"/>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4025358841060964"/>
          <c:h val="0.87249074074074073"/>
        </c:manualLayout>
      </c:layout>
      <c:lineChart>
        <c:grouping val="standard"/>
        <c:varyColors val="0"/>
        <c:ser>
          <c:idx val="0"/>
          <c:order val="0"/>
          <c:tx>
            <c:strRef>
              <c:f>'Talnagögn | Numerical Data'!$G$283</c:f>
              <c:strCache>
                <c:ptCount val="1"/>
                <c:pt idx="0">
                  <c:v>Historical Emissions</c:v>
                </c:pt>
              </c:strCache>
            </c:strRef>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2B93-4CB5-8EBA-605E7847BBD3}"/>
            </c:ext>
          </c:extLst>
        </c:ser>
        <c:ser>
          <c:idx val="4"/>
          <c:order val="1"/>
          <c:tx>
            <c:strRef>
              <c:f>'Talnagögn | Numerical Data'!$G$297</c:f>
              <c:strCache>
                <c:ptCount val="1"/>
                <c:pt idx="0">
                  <c:v>Emission Projections: Government Policy-Based Scenario</c:v>
                </c:pt>
              </c:strCache>
            </c:strRef>
          </c:tx>
          <c:spPr>
            <a:ln w="19050" cap="rnd">
              <a:solidFill>
                <a:schemeClr val="accent1"/>
              </a:solidFill>
              <a:prstDash val="dash"/>
              <a:round/>
            </a:ln>
            <a:effectLst/>
          </c:spPr>
          <c:marker>
            <c:symbol val="none"/>
          </c:marker>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2B93-4CB5-8EBA-605E7847BBD3}"/>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791587006714555"/>
          <c:y val="0.33309092495096165"/>
          <c:w val="0.20031247783216288"/>
          <c:h val="0.3426375000000000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774945709461806"/>
          <c:h val="0.85881501751795564"/>
        </c:manualLayout>
      </c:layout>
      <c:barChart>
        <c:barDir val="col"/>
        <c:grouping val="stacked"/>
        <c:varyColors val="0"/>
        <c:ser>
          <c:idx val="0"/>
          <c:order val="0"/>
          <c:tx>
            <c:strRef>
              <c:f>'Talnagögn | Numerical Data'!$G$284</c:f>
              <c:strCache>
                <c:ptCount val="1"/>
                <c:pt idx="0">
                  <c:v>Road Transport</c:v>
                </c:pt>
              </c:strCache>
            </c:strRef>
          </c:tx>
          <c:spPr>
            <a:solidFill>
              <a:schemeClr val="bg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42C7-4516-8D1F-8AB59B176163}"/>
            </c:ext>
          </c:extLst>
        </c:ser>
        <c:ser>
          <c:idx val="2"/>
          <c:order val="1"/>
          <c:tx>
            <c:strRef>
              <c:f>'Talnagögn | Numerical Data'!$G$286</c:f>
              <c:strCache>
                <c:ptCount val="1"/>
                <c:pt idx="0">
                  <c:v>Agriculture</c:v>
                </c:pt>
              </c:strCache>
            </c:strRef>
          </c:tx>
          <c:spPr>
            <a:solidFill>
              <a:srgbClr val="99E5DA"/>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42C7-4516-8D1F-8AB59B176163}"/>
            </c:ext>
          </c:extLst>
        </c:ser>
        <c:ser>
          <c:idx val="1"/>
          <c:order val="2"/>
          <c:tx>
            <c:strRef>
              <c:f>'Talnagögn | Numerical Data'!$G$285</c:f>
              <c:strCache>
                <c:ptCount val="1"/>
                <c:pt idx="0">
                  <c:v>Fishing</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42C7-4516-8D1F-8AB59B176163}"/>
            </c:ext>
          </c:extLst>
        </c:ser>
        <c:ser>
          <c:idx val="3"/>
          <c:order val="3"/>
          <c:tx>
            <c:strRef>
              <c:f>'Talnagögn | Numerical Data'!$G$287</c:f>
              <c:strCache>
                <c:ptCount val="1"/>
                <c:pt idx="0">
                  <c:v>Solid Waste Disposal on Land</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42C7-4516-8D1F-8AB59B176163}"/>
            </c:ext>
          </c:extLst>
        </c:ser>
        <c:ser>
          <c:idx val="5"/>
          <c:order val="4"/>
          <c:tx>
            <c:strRef>
              <c:f>'Talnagögn | Numerical Data'!$G$289</c:f>
              <c:strCache>
                <c:ptCount val="1"/>
                <c:pt idx="0">
                  <c:v>Geothermal Energy</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Data'!$X$289:$AX$289</c:f>
              <c:numCache>
                <c:formatCode>0</c:formatCode>
                <c:ptCount val="27"/>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42C7-4516-8D1F-8AB59B176163}"/>
            </c:ext>
          </c:extLst>
        </c:ser>
        <c:ser>
          <c:idx val="4"/>
          <c:order val="5"/>
          <c:tx>
            <c:strRef>
              <c:f>'Talnagögn | Numerical Data'!$G$288</c:f>
              <c:strCache>
                <c:ptCount val="1"/>
                <c:pt idx="0">
                  <c:v>F-Gases</c:v>
                </c:pt>
              </c:strCache>
            </c:strRef>
          </c:tx>
          <c:spPr>
            <a:solidFill>
              <a:schemeClr val="accent3">
                <a:lumMod val="40000"/>
                <a:lumOff val="6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Data'!$X$288:$AX$288</c:f>
              <c:numCache>
                <c:formatCode>0</c:formatCode>
                <c:ptCount val="27"/>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42C7-4516-8D1F-8AB59B176163}"/>
            </c:ext>
          </c:extLst>
        </c:ser>
        <c:ser>
          <c:idx val="6"/>
          <c:order val="6"/>
          <c:tx>
            <c:strRef>
              <c:f>'Talnagögn | Numerical Data'!$G$290</c:f>
              <c:strCache>
                <c:ptCount val="1"/>
                <c:pt idx="0">
                  <c:v>Off-Road Vehicles and Other Machinery</c:v>
                </c:pt>
              </c:strCache>
            </c:strRef>
          </c:tx>
          <c:spPr>
            <a:solidFill>
              <a:schemeClr val="accent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Data'!$X$290:$AX$290</c:f>
              <c:numCache>
                <c:formatCode>0</c:formatCode>
                <c:ptCount val="27"/>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42C7-4516-8D1F-8AB59B176163}"/>
            </c:ext>
          </c:extLst>
        </c:ser>
        <c:ser>
          <c:idx val="7"/>
          <c:order val="7"/>
          <c:tx>
            <c:strRef>
              <c:f>'Talnagögn | Numerical Data'!$G$294</c:f>
              <c:strCache>
                <c:ptCount val="1"/>
                <c:pt idx="0">
                  <c:v>Other Emissions</c:v>
                </c:pt>
              </c:strCache>
            </c:strRef>
          </c:tx>
          <c:spPr>
            <a:solidFill>
              <a:schemeClr val="accent5">
                <a:lumMod val="20000"/>
                <a:lumOff val="8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Data'!$X$294:$AX$294</c:f>
              <c:numCache>
                <c:formatCode>0</c:formatCode>
                <c:ptCount val="27"/>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42C7-4516-8D1F-8AB59B176163}"/>
            </c:ext>
          </c:extLst>
        </c:ser>
        <c:ser>
          <c:idx val="8"/>
          <c:order val="8"/>
          <c:spPr>
            <a:solidFill>
              <a:schemeClr val="bg2">
                <a:alpha val="30000"/>
              </a:scheme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1-DFEC-4ABE-B9E5-5A35FFA28445}"/>
              </c:ext>
            </c:extLst>
          </c:dPt>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extLst>
            <c:ext xmlns:c16="http://schemas.microsoft.com/office/drawing/2014/chart" uri="{C3380CC4-5D6E-409C-BE32-E72D297353CC}">
              <c16:uniqueId val="{0000000A-42C7-4516-8D1F-8AB59B176163}"/>
            </c:ext>
          </c:extLst>
        </c:ser>
        <c:ser>
          <c:idx val="10"/>
          <c:order val="9"/>
          <c:spPr>
            <a:solidFill>
              <a:srgbClr val="99E5DA">
                <a:alpha val="30000"/>
              </a:srgb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3-DFEC-4ABE-B9E5-5A35FFA28445}"/>
              </c:ext>
            </c:extLst>
          </c:dPt>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extLst>
            <c:ext xmlns:c16="http://schemas.microsoft.com/office/drawing/2014/chart" uri="{C3380CC4-5D6E-409C-BE32-E72D297353CC}">
              <c16:uniqueId val="{0000000D-42C7-4516-8D1F-8AB59B176163}"/>
            </c:ext>
          </c:extLst>
        </c:ser>
        <c:ser>
          <c:idx val="9"/>
          <c:order val="10"/>
          <c:spPr>
            <a:solidFill>
              <a:schemeClr val="accent1">
                <a:alpha val="30000"/>
              </a:schemeClr>
            </a:solidFill>
            <a:ln>
              <a:noFill/>
            </a:ln>
            <a:effectLst/>
          </c:spPr>
          <c:invertIfNegative val="0"/>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extLst>
            <c:ext xmlns:c16="http://schemas.microsoft.com/office/drawing/2014/chart" uri="{C3380CC4-5D6E-409C-BE32-E72D297353CC}">
              <c16:uniqueId val="{0000000E-42C7-4516-8D1F-8AB59B176163}"/>
            </c:ext>
          </c:extLst>
        </c:ser>
        <c:ser>
          <c:idx val="11"/>
          <c:order val="11"/>
          <c:tx>
            <c:v>Urðun proj</c:v>
          </c:tx>
          <c:spPr>
            <a:solidFill>
              <a:schemeClr val="accent6">
                <a:alpha val="30000"/>
              </a:schemeClr>
            </a:solidFill>
            <a:ln>
              <a:noFill/>
            </a:ln>
            <a:effectLst/>
          </c:spPr>
          <c:invertIfNegative val="0"/>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extLst>
            <c:ext xmlns:c16="http://schemas.microsoft.com/office/drawing/2014/chart" uri="{C3380CC4-5D6E-409C-BE32-E72D297353CC}">
              <c16:uniqueId val="{0000000F-42C7-4516-8D1F-8AB59B176163}"/>
            </c:ext>
          </c:extLst>
        </c:ser>
        <c:ser>
          <c:idx val="13"/>
          <c:order val="12"/>
          <c:spPr>
            <a:solidFill>
              <a:schemeClr val="tx2">
                <a:alpha val="30000"/>
              </a:schemeClr>
            </a:solidFill>
            <a:ln>
              <a:noFill/>
            </a:ln>
            <a:effectLst/>
          </c:spPr>
          <c:invertIfNegative val="0"/>
          <c:val>
            <c:numRef>
              <c:f>'Talnagögn | Numerical Data'!$X$303:$BV$303</c:f>
              <c:numCache>
                <c:formatCode>0</c:formatCode>
                <c:ptCount val="51"/>
                <c:pt idx="20">
                  <c:v>214.07609476451782</c:v>
                </c:pt>
                <c:pt idx="21">
                  <c:v>200.08931930544816</c:v>
                </c:pt>
                <c:pt idx="22">
                  <c:v>200.11599544820228</c:v>
                </c:pt>
                <c:pt idx="23">
                  <c:v>200.10978527269327</c:v>
                </c:pt>
                <c:pt idx="24">
                  <c:v>200.10503334211458</c:v>
                </c:pt>
                <c:pt idx="25">
                  <c:v>187.31167135433674</c:v>
                </c:pt>
                <c:pt idx="26">
                  <c:v>185.34216199016637</c:v>
                </c:pt>
                <c:pt idx="27">
                  <c:v>185.34168800695139</c:v>
                </c:pt>
                <c:pt idx="28">
                  <c:v>185.34264000619092</c:v>
                </c:pt>
                <c:pt idx="29">
                  <c:v>185.34216333443621</c:v>
                </c:pt>
                <c:pt idx="30">
                  <c:v>185.34216378252611</c:v>
                </c:pt>
                <c:pt idx="31">
                  <c:v>185.34232237438439</c:v>
                </c:pt>
                <c:pt idx="32">
                  <c:v>185.34221649711557</c:v>
                </c:pt>
                <c:pt idx="33">
                  <c:v>185.34223421800871</c:v>
                </c:pt>
                <c:pt idx="34">
                  <c:v>185.34225769650291</c:v>
                </c:pt>
                <c:pt idx="35">
                  <c:v>185.34223613720908</c:v>
                </c:pt>
                <c:pt idx="36">
                  <c:v>185.3422426839069</c:v>
                </c:pt>
                <c:pt idx="37">
                  <c:v>185.34224550587297</c:v>
                </c:pt>
                <c:pt idx="38">
                  <c:v>185.34224144232965</c:v>
                </c:pt>
                <c:pt idx="39">
                  <c:v>185.34224321070317</c:v>
                </c:pt>
                <c:pt idx="40">
                  <c:v>185.34224338630193</c:v>
                </c:pt>
                <c:pt idx="41">
                  <c:v>185.3422426797782</c:v>
                </c:pt>
                <c:pt idx="42">
                  <c:v>185.3422430922611</c:v>
                </c:pt>
                <c:pt idx="43">
                  <c:v>185.34224305278045</c:v>
                </c:pt>
                <c:pt idx="44">
                  <c:v>185.3422429416066</c:v>
                </c:pt>
                <c:pt idx="45">
                  <c:v>185.34224302888268</c:v>
                </c:pt>
                <c:pt idx="46">
                  <c:v>185.34224300775654</c:v>
                </c:pt>
                <c:pt idx="47">
                  <c:v>185.34224299274857</c:v>
                </c:pt>
                <c:pt idx="48">
                  <c:v>185.34224300979596</c:v>
                </c:pt>
                <c:pt idx="49">
                  <c:v>185.34224300343371</c:v>
                </c:pt>
                <c:pt idx="50">
                  <c:v>185.34224300199278</c:v>
                </c:pt>
              </c:numCache>
            </c:numRef>
          </c:val>
          <c:extLst>
            <c:ext xmlns:c16="http://schemas.microsoft.com/office/drawing/2014/chart" uri="{C3380CC4-5D6E-409C-BE32-E72D297353CC}">
              <c16:uniqueId val="{00000010-42C7-4516-8D1F-8AB59B176163}"/>
            </c:ext>
          </c:extLst>
        </c:ser>
        <c:ser>
          <c:idx val="12"/>
          <c:order val="13"/>
          <c:spPr>
            <a:solidFill>
              <a:schemeClr val="accent3">
                <a:lumMod val="40000"/>
                <a:lumOff val="60000"/>
                <a:alpha val="30000"/>
              </a:schemeClr>
            </a:solidFill>
            <a:ln>
              <a:noFill/>
            </a:ln>
            <a:effectLst/>
          </c:spPr>
          <c:invertIfNegative val="0"/>
          <c:val>
            <c:numRef>
              <c:f>'Talnagögn | Numerical Data'!$X$302:$BV$302</c:f>
              <c:numCache>
                <c:formatCode>0</c:formatCode>
                <c:ptCount val="51"/>
                <c:pt idx="20">
                  <c:v>105.65811164441938</c:v>
                </c:pt>
                <c:pt idx="21">
                  <c:v>83.939356753838709</c:v>
                </c:pt>
                <c:pt idx="22">
                  <c:v>89.415585047430667</c:v>
                </c:pt>
                <c:pt idx="23">
                  <c:v>43.40472654430534</c:v>
                </c:pt>
                <c:pt idx="24">
                  <c:v>28.595701920471573</c:v>
                </c:pt>
                <c:pt idx="25">
                  <c:v>35.0234903160204</c:v>
                </c:pt>
                <c:pt idx="26">
                  <c:v>17.253346767164082</c:v>
                </c:pt>
                <c:pt idx="27">
                  <c:v>18.009768312055179</c:v>
                </c:pt>
                <c:pt idx="28">
                  <c:v>24.723980294032209</c:v>
                </c:pt>
                <c:pt idx="29">
                  <c:v>14.28694724185282</c:v>
                </c:pt>
                <c:pt idx="30">
                  <c:v>8.928626854732892</c:v>
                </c:pt>
                <c:pt idx="31">
                  <c:v>9.4331922594709194</c:v>
                </c:pt>
                <c:pt idx="32">
                  <c:v>9.5333161155516493</c:v>
                </c:pt>
                <c:pt idx="33">
                  <c:v>9.5715916183487302</c:v>
                </c:pt>
                <c:pt idx="34">
                  <c:v>9.9802058863014569</c:v>
                </c:pt>
                <c:pt idx="35">
                  <c:v>10.355069313046386</c:v>
                </c:pt>
                <c:pt idx="36">
                  <c:v>10.708405895263525</c:v>
                </c:pt>
                <c:pt idx="37">
                  <c:v>10.805327528923454</c:v>
                </c:pt>
                <c:pt idx="38">
                  <c:v>10.913704570280276</c:v>
                </c:pt>
                <c:pt idx="39">
                  <c:v>10.997738385977007</c:v>
                </c:pt>
                <c:pt idx="40">
                  <c:v>11.06138423454213</c:v>
                </c:pt>
                <c:pt idx="41">
                  <c:v>11.190983630440373</c:v>
                </c:pt>
                <c:pt idx="42">
                  <c:v>11.51212490345165</c:v>
                </c:pt>
                <c:pt idx="43">
                  <c:v>11.29416127575184</c:v>
                </c:pt>
                <c:pt idx="44">
                  <c:v>11.200240169565182</c:v>
                </c:pt>
                <c:pt idx="45">
                  <c:v>11.197445895681135</c:v>
                </c:pt>
                <c:pt idx="46">
                  <c:v>11.042578034809972</c:v>
                </c:pt>
                <c:pt idx="47">
                  <c:v>10.912000717167739</c:v>
                </c:pt>
                <c:pt idx="48">
                  <c:v>10.818690929789394</c:v>
                </c:pt>
                <c:pt idx="49">
                  <c:v>10.774930000739039</c:v>
                </c:pt>
                <c:pt idx="50">
                  <c:v>10.767865370664548</c:v>
                </c:pt>
              </c:numCache>
            </c:numRef>
          </c:val>
          <c:extLst>
            <c:ext xmlns:c16="http://schemas.microsoft.com/office/drawing/2014/chart" uri="{C3380CC4-5D6E-409C-BE32-E72D297353CC}">
              <c16:uniqueId val="{00000011-42C7-4516-8D1F-8AB59B176163}"/>
            </c:ext>
          </c:extLst>
        </c:ser>
        <c:ser>
          <c:idx val="14"/>
          <c:order val="14"/>
          <c:spPr>
            <a:solidFill>
              <a:schemeClr val="accent2">
                <a:alpha val="30000"/>
              </a:schemeClr>
            </a:solidFill>
            <a:ln>
              <a:noFill/>
            </a:ln>
            <a:effectLst/>
          </c:spPr>
          <c:invertIfNegative val="0"/>
          <c:val>
            <c:numRef>
              <c:f>'Talnagögn | Numerical Data'!$X$304:$BV$304</c:f>
              <c:numCache>
                <c:formatCode>0</c:formatCode>
                <c:ptCount val="51"/>
                <c:pt idx="20">
                  <c:v>77.003200912657135</c:v>
                </c:pt>
                <c:pt idx="21">
                  <c:v>81.702333842233713</c:v>
                </c:pt>
                <c:pt idx="22">
                  <c:v>84.306045442719949</c:v>
                </c:pt>
                <c:pt idx="23">
                  <c:v>84.646265105608947</c:v>
                </c:pt>
                <c:pt idx="24">
                  <c:v>84.391526256694931</c:v>
                </c:pt>
                <c:pt idx="25">
                  <c:v>84.624152775755988</c:v>
                </c:pt>
                <c:pt idx="26">
                  <c:v>85.088104941370801</c:v>
                </c:pt>
                <c:pt idx="27">
                  <c:v>85.281255870015386</c:v>
                </c:pt>
                <c:pt idx="28">
                  <c:v>85.404119806920264</c:v>
                </c:pt>
                <c:pt idx="29">
                  <c:v>85.43222250992261</c:v>
                </c:pt>
                <c:pt idx="30">
                  <c:v>85.275751366965295</c:v>
                </c:pt>
                <c:pt idx="31">
                  <c:v>85.02538339503225</c:v>
                </c:pt>
                <c:pt idx="32">
                  <c:v>84.530231301975178</c:v>
                </c:pt>
                <c:pt idx="33">
                  <c:v>83.835944898316228</c:v>
                </c:pt>
                <c:pt idx="34">
                  <c:v>82.948604630454327</c:v>
                </c:pt>
                <c:pt idx="35">
                  <c:v>81.724112387839853</c:v>
                </c:pt>
                <c:pt idx="36">
                  <c:v>80.22374253159478</c:v>
                </c:pt>
                <c:pt idx="37">
                  <c:v>78.313475676339948</c:v>
                </c:pt>
                <c:pt idx="38">
                  <c:v>76.057402339672649</c:v>
                </c:pt>
                <c:pt idx="39">
                  <c:v>73.449950270563193</c:v>
                </c:pt>
                <c:pt idx="40">
                  <c:v>70.403514708034464</c:v>
                </c:pt>
                <c:pt idx="41">
                  <c:v>66.97314873915073</c:v>
                </c:pt>
                <c:pt idx="42">
                  <c:v>63.147917086299728</c:v>
                </c:pt>
                <c:pt idx="43">
                  <c:v>59.048923592147815</c:v>
                </c:pt>
                <c:pt idx="44">
                  <c:v>54.721254548823872</c:v>
                </c:pt>
                <c:pt idx="45">
                  <c:v>50.231045372831574</c:v>
                </c:pt>
                <c:pt idx="46">
                  <c:v>40.653889798626899</c:v>
                </c:pt>
                <c:pt idx="47">
                  <c:v>36.475635520827723</c:v>
                </c:pt>
                <c:pt idx="48">
                  <c:v>32.489126554652735</c:v>
                </c:pt>
                <c:pt idx="49">
                  <c:v>28.763222747455618</c:v>
                </c:pt>
                <c:pt idx="50">
                  <c:v>25.341442398861652</c:v>
                </c:pt>
              </c:numCache>
            </c:numRef>
          </c:val>
          <c:extLst>
            <c:ext xmlns:c16="http://schemas.microsoft.com/office/drawing/2014/chart" uri="{C3380CC4-5D6E-409C-BE32-E72D297353CC}">
              <c16:uniqueId val="{00000012-42C7-4516-8D1F-8AB59B176163}"/>
            </c:ext>
          </c:extLst>
        </c:ser>
        <c:ser>
          <c:idx val="15"/>
          <c:order val="15"/>
          <c:spPr>
            <a:solidFill>
              <a:schemeClr val="accent5">
                <a:lumMod val="40000"/>
                <a:lumOff val="60000"/>
                <a:alpha val="30000"/>
              </a:schemeClr>
            </a:solidFill>
            <a:ln>
              <a:noFill/>
            </a:ln>
            <a:effectLst/>
          </c:spPr>
          <c:invertIfNegative val="0"/>
          <c:val>
            <c:numRef>
              <c:f>'Talnagögn | Numerical Data'!$X$308:$BV$308</c:f>
              <c:numCache>
                <c:formatCode>0</c:formatCode>
                <c:ptCount val="51"/>
                <c:pt idx="20">
                  <c:v>144.31484060428602</c:v>
                </c:pt>
                <c:pt idx="21">
                  <c:v>144.12065041244978</c:v>
                </c:pt>
                <c:pt idx="22">
                  <c:v>148.70483231438493</c:v>
                </c:pt>
                <c:pt idx="23">
                  <c:v>150.79701950262506</c:v>
                </c:pt>
                <c:pt idx="24">
                  <c:v>146.85057515420931</c:v>
                </c:pt>
                <c:pt idx="25">
                  <c:v>141.91468976051237</c:v>
                </c:pt>
                <c:pt idx="26">
                  <c:v>137.72976294099544</c:v>
                </c:pt>
                <c:pt idx="27">
                  <c:v>134.92348443038236</c:v>
                </c:pt>
                <c:pt idx="28">
                  <c:v>140.95157332626104</c:v>
                </c:pt>
                <c:pt idx="29">
                  <c:v>140.27137025306911</c:v>
                </c:pt>
                <c:pt idx="30">
                  <c:v>135.05679155200869</c:v>
                </c:pt>
                <c:pt idx="31">
                  <c:v>134.31861760317065</c:v>
                </c:pt>
                <c:pt idx="32">
                  <c:v>133.49843347250885</c:v>
                </c:pt>
                <c:pt idx="33">
                  <c:v>132.79521322383448</c:v>
                </c:pt>
                <c:pt idx="34">
                  <c:v>132.00917977146833</c:v>
                </c:pt>
                <c:pt idx="35">
                  <c:v>131.11847630601255</c:v>
                </c:pt>
                <c:pt idx="36">
                  <c:v>129.93431544129635</c:v>
                </c:pt>
                <c:pt idx="37">
                  <c:v>128.73336585283459</c:v>
                </c:pt>
                <c:pt idx="38">
                  <c:v>127.52235910117065</c:v>
                </c:pt>
                <c:pt idx="39">
                  <c:v>126.30484061729771</c:v>
                </c:pt>
                <c:pt idx="40">
                  <c:v>125.05045636396585</c:v>
                </c:pt>
                <c:pt idx="41">
                  <c:v>123.79136756564139</c:v>
                </c:pt>
                <c:pt idx="42">
                  <c:v>122.5102666723044</c:v>
                </c:pt>
                <c:pt idx="43">
                  <c:v>121.18458395244011</c:v>
                </c:pt>
                <c:pt idx="44">
                  <c:v>119.78678264897167</c:v>
                </c:pt>
                <c:pt idx="45">
                  <c:v>118.10487474633555</c:v>
                </c:pt>
                <c:pt idx="46">
                  <c:v>116.86199016469595</c:v>
                </c:pt>
                <c:pt idx="47">
                  <c:v>115.60730201116394</c:v>
                </c:pt>
                <c:pt idx="48">
                  <c:v>114.35775224471558</c:v>
                </c:pt>
                <c:pt idx="49">
                  <c:v>113.11158412792588</c:v>
                </c:pt>
                <c:pt idx="50">
                  <c:v>111.85163223706331</c:v>
                </c:pt>
              </c:numCache>
            </c:numRef>
          </c:val>
          <c:extLst>
            <c:ext xmlns:c16="http://schemas.microsoft.com/office/drawing/2014/chart" uri="{C3380CC4-5D6E-409C-BE32-E72D297353CC}">
              <c16:uniqueId val="{00000013-42C7-4516-8D1F-8AB59B176163}"/>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ayout>
        <c:manualLayout>
          <c:xMode val="edge"/>
          <c:yMode val="edge"/>
          <c:x val="0.74000706758605694"/>
          <c:y val="0.1554795460785211"/>
          <c:w val="0.25999296312922365"/>
          <c:h val="0.7210030200420976"/>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n-US" sz="10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29900943734936"/>
          <c:y val="2.6132870370370376E-2"/>
          <c:w val="0.63250700483091793"/>
          <c:h val="0.87429398148148163"/>
        </c:manualLayout>
      </c:layout>
      <c:lineChart>
        <c:grouping val="standard"/>
        <c:varyColors val="0"/>
        <c:ser>
          <c:idx val="3"/>
          <c:order val="0"/>
          <c:tx>
            <c:strRef>
              <c:f>'Talnagögn | Numerical Data'!$E$267</c:f>
              <c:strCache>
                <c:ptCount val="1"/>
                <c:pt idx="0">
                  <c:v>Landnotkun</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E98-4FBB-B5A3-6A8FFA865D86}"/>
            </c:ext>
          </c:extLst>
        </c:ser>
        <c:ser>
          <c:idx val="2"/>
          <c:order val="1"/>
          <c:tx>
            <c:strRef>
              <c:f>'Talnagögn | Numerical Data'!$E$266</c:f>
              <c:strCache>
                <c:ptCount val="1"/>
                <c:pt idx="0">
                  <c:v>Samfélagslosun</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E98-4FBB-B5A3-6A8FFA865D86}"/>
            </c:ext>
          </c:extLst>
        </c:ser>
        <c:ser>
          <c:idx val="0"/>
          <c:order val="2"/>
          <c:tx>
            <c:strRef>
              <c:f>'Talnagögn | Numerical Data'!$E$264</c:f>
              <c:strCache>
                <c:ptCount val="1"/>
                <c:pt idx="0">
                  <c:v>ETS staðbundinn iðnaður</c:v>
                </c:pt>
              </c:strCache>
            </c:strRef>
          </c:tx>
          <c:spPr>
            <a:ln w="19050" cap="rnd">
              <a:solidFill>
                <a:srgbClr val="FF9A8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E98-4FBB-B5A3-6A8FFA865D86}"/>
            </c:ext>
          </c:extLst>
        </c:ser>
        <c:ser>
          <c:idx val="1"/>
          <c:order val="3"/>
          <c:tx>
            <c:strRef>
              <c:f>'Talnagögn | Numerical Data'!$E$265</c:f>
              <c:strCache>
                <c:ptCount val="1"/>
                <c:pt idx="0">
                  <c:v>Innanlandsflug (CO₂)</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E98-4FBB-B5A3-6A8FFA865D86}"/>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5.7902909459540977E-5"/>
              <c:y val="0.211476860902939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987572463768114"/>
          <c:y val="0.36046653049203037"/>
          <c:w val="0.23556292270531401"/>
          <c:h val="0.273303493510224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6100940679118E-2"/>
          <c:y val="3.151473533826004E-2"/>
          <c:w val="0.64059635335694709"/>
          <c:h val="0.88392019846387659"/>
        </c:manualLayout>
      </c:layout>
      <c:lineChart>
        <c:grouping val="standard"/>
        <c:varyColors val="0"/>
        <c:ser>
          <c:idx val="3"/>
          <c:order val="0"/>
          <c:tx>
            <c:strRef>
              <c:f>'Skuldbindingar | Obligations'!$AC$11</c:f>
              <c:strCache>
                <c:ptCount val="1"/>
                <c:pt idx="0">
                  <c:v>LULUCF</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851-4BD2-88D8-8F19E1D1909E}"/>
            </c:ext>
          </c:extLst>
        </c:ser>
        <c:ser>
          <c:idx val="2"/>
          <c:order val="1"/>
          <c:tx>
            <c:strRef>
              <c:f>'Talnagögn | Numerical Data'!$G$266</c:f>
              <c:strCache>
                <c:ptCount val="1"/>
                <c:pt idx="0">
                  <c:v>ESR</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851-4BD2-88D8-8F19E1D1909E}"/>
            </c:ext>
          </c:extLst>
        </c:ser>
        <c:ser>
          <c:idx val="0"/>
          <c:order val="2"/>
          <c:tx>
            <c:strRef>
              <c:f>'Talnagögn | Numerical Data'!$G$264</c:f>
              <c:strCache>
                <c:ptCount val="1"/>
                <c:pt idx="0">
                  <c:v>ETS Stationary Industries</c:v>
                </c:pt>
              </c:strCache>
            </c:strRef>
          </c:tx>
          <c:spPr>
            <a:ln w="19050" cap="rnd">
              <a:solidFill>
                <a:srgbClr val="FF9A8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851-4BD2-88D8-8F19E1D1909E}"/>
            </c:ext>
          </c:extLst>
        </c:ser>
        <c:ser>
          <c:idx val="1"/>
          <c:order val="3"/>
          <c:tx>
            <c:strRef>
              <c:f>'Talnagögn | Numerical Data'!$G$265</c:f>
              <c:strCache>
                <c:ptCount val="1"/>
                <c:pt idx="0">
                  <c:v>Domestic Aviation (CO₂)</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851-4BD2-88D8-8F19E1D1909E}"/>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6786682635604342E-3"/>
              <c:y val="0.2772669573301311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870182194294709"/>
          <c:y val="0.19776263387846935"/>
          <c:w val="0.26129816908834697"/>
          <c:h val="0.490776655235667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23140096618358"/>
          <c:y val="1.9086342592592592E-2"/>
          <c:w val="0.63195833333333318"/>
          <c:h val="0.8784005359672038"/>
        </c:manualLayout>
      </c:layout>
      <c:lineChart>
        <c:grouping val="standard"/>
        <c:varyColors val="0"/>
        <c:ser>
          <c:idx val="3"/>
          <c:order val="0"/>
          <c:tx>
            <c:strRef>
              <c:f>'Talnagögn | Numerical Data'!$E$267</c:f>
              <c:strCache>
                <c:ptCount val="1"/>
                <c:pt idx="0">
                  <c:v>Landnotkun</c:v>
                </c:pt>
              </c:strCache>
            </c:strRef>
          </c:tx>
          <c:spPr>
            <a:ln w="19050" cap="rnd">
              <a:solidFill>
                <a:srgbClr val="00BDA2"/>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Data'!$X$267:$AX$267</c:f>
              <c:numCache>
                <c:formatCode>0</c:formatCode>
                <c:ptCount val="27"/>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C10-42D3-AA1D-3C9E4B1A8D11}"/>
            </c:ext>
          </c:extLst>
        </c:ser>
        <c:ser>
          <c:idx val="2"/>
          <c:order val="1"/>
          <c:tx>
            <c:strRef>
              <c:f>'Talnagögn | Numerical Data'!$E$266</c:f>
              <c:strCache>
                <c:ptCount val="1"/>
                <c:pt idx="0">
                  <c:v>Samfélagslosun</c:v>
                </c:pt>
              </c:strCache>
            </c:strRef>
          </c:tx>
          <c:spPr>
            <a:ln w="19050" cap="rnd">
              <a:solidFill>
                <a:srgbClr val="338DE9"/>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Data'!$X$266:$AX$266</c:f>
              <c:numCache>
                <c:formatCode>0</c:formatCode>
                <c:ptCount val="27"/>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C10-42D3-AA1D-3C9E4B1A8D11}"/>
            </c:ext>
          </c:extLst>
        </c:ser>
        <c:ser>
          <c:idx val="0"/>
          <c:order val="2"/>
          <c:tx>
            <c:strRef>
              <c:f>'Talnagögn | Numerical Data'!$E$264</c:f>
              <c:strCache>
                <c:ptCount val="1"/>
                <c:pt idx="0">
                  <c:v>ETS staðbundinn iðnaður</c:v>
                </c:pt>
              </c:strCache>
            </c:strRef>
          </c:tx>
          <c:spPr>
            <a:ln w="19050" cap="rnd">
              <a:solidFill>
                <a:srgbClr val="FF7A64"/>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Data'!$X$264:$AX$264</c:f>
              <c:numCache>
                <c:formatCode>0</c:formatCode>
                <c:ptCount val="27"/>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C10-42D3-AA1D-3C9E4B1A8D11}"/>
            </c:ext>
          </c:extLst>
        </c:ser>
        <c:ser>
          <c:idx val="1"/>
          <c:order val="3"/>
          <c:tx>
            <c:strRef>
              <c:f>'Talnagögn | Numerical Data'!$E$265</c:f>
              <c:strCache>
                <c:ptCount val="1"/>
                <c:pt idx="0">
                  <c:v>Innanlandsflug (CO₂)</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Data'!$X$265:$AX$265</c:f>
              <c:numCache>
                <c:formatCode>0</c:formatCode>
                <c:ptCount val="27"/>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C10-42D3-AA1D-3C9E4B1A8D11}"/>
            </c:ext>
          </c:extLst>
        </c:ser>
        <c:ser>
          <c:idx val="4"/>
          <c:order val="4"/>
          <c:tx>
            <c:v>LULUCF WEM</c:v>
          </c:tx>
          <c:spPr>
            <a:ln w="19050" cap="rnd">
              <a:solidFill>
                <a:srgbClr val="00BDA2"/>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smooth val="0"/>
          <c:extLst>
            <c:ext xmlns:c16="http://schemas.microsoft.com/office/drawing/2014/chart" uri="{C3380CC4-5D6E-409C-BE32-E72D297353CC}">
              <c16:uniqueId val="{00000004-7C10-42D3-AA1D-3C9E4B1A8D11}"/>
            </c:ext>
          </c:extLst>
        </c:ser>
        <c:ser>
          <c:idx val="5"/>
          <c:order val="5"/>
          <c:tx>
            <c:v>ESR WEM</c:v>
          </c:tx>
          <c:spPr>
            <a:ln w="19050" cap="rnd">
              <a:solidFill>
                <a:srgbClr val="338DE9"/>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smooth val="0"/>
          <c:extLst>
            <c:ext xmlns:c16="http://schemas.microsoft.com/office/drawing/2014/chart" uri="{C3380CC4-5D6E-409C-BE32-E72D297353CC}">
              <c16:uniqueId val="{00000005-7C10-42D3-AA1D-3C9E4B1A8D11}"/>
            </c:ext>
          </c:extLst>
        </c:ser>
        <c:ser>
          <c:idx val="6"/>
          <c:order val="6"/>
          <c:tx>
            <c:v>ESR WAM</c:v>
          </c:tx>
          <c:spPr>
            <a:ln w="28575" cap="rnd">
              <a:solidFill>
                <a:schemeClr val="accent1">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7C10-42D3-AA1D-3C9E4B1A8D11}"/>
            </c:ext>
          </c:extLst>
        </c:ser>
        <c:ser>
          <c:idx val="7"/>
          <c:order val="7"/>
          <c:tx>
            <c:v>ETS WEM</c:v>
          </c:tx>
          <c:spPr>
            <a:ln w="19050" cap="rnd">
              <a:solidFill>
                <a:srgbClr val="FF7A64"/>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smooth val="0"/>
          <c:extLst>
            <c:ext xmlns:c16="http://schemas.microsoft.com/office/drawing/2014/chart" uri="{C3380CC4-5D6E-409C-BE32-E72D297353CC}">
              <c16:uniqueId val="{00000007-7C10-42D3-AA1D-3C9E4B1A8D11}"/>
            </c:ext>
          </c:extLst>
        </c:ser>
        <c:ser>
          <c:idx val="8"/>
          <c:order val="8"/>
          <c:tx>
            <c:v>CO2 DomAvi WEM</c:v>
          </c:tx>
          <c:spPr>
            <a:ln w="19050" cap="rnd">
              <a:solidFill>
                <a:schemeClr val="tx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smooth val="0"/>
          <c:extLst>
            <c:ext xmlns:c16="http://schemas.microsoft.com/office/drawing/2014/chart" uri="{C3380CC4-5D6E-409C-BE32-E72D297353CC}">
              <c16:uniqueId val="{00000008-7C10-42D3-AA1D-3C9E4B1A8D11}"/>
            </c:ext>
          </c:extLst>
        </c:ser>
        <c:ser>
          <c:idx val="9"/>
          <c:order val="9"/>
          <c:tx>
            <c:v>CO2 DomAvi WAM</c:v>
          </c:tx>
          <c:spPr>
            <a:ln w="28575" cap="rnd">
              <a:solidFill>
                <a:schemeClr val="accent4">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7C10-42D3-AA1D-3C9E4B1A8D11}"/>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6663835667707933E-4"/>
              <c:y val="0.201958263467716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462475845410625"/>
          <c:y val="0.35394166666666665"/>
          <c:w val="0.25384142512077296"/>
          <c:h val="0.304454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752159640578702E-2"/>
          <c:y val="2.4588972568666604E-2"/>
          <c:w val="0.6405280237032096"/>
          <c:h val="0.8754916198981505"/>
        </c:manualLayout>
      </c:layout>
      <c:lineChart>
        <c:grouping val="standard"/>
        <c:varyColors val="0"/>
        <c:ser>
          <c:idx val="1"/>
          <c:order val="0"/>
          <c:tx>
            <c:strRef>
              <c:f>'Talnagögn | Numerical Data'!$E$263</c:f>
              <c:strCache>
                <c:ptCount val="1"/>
                <c:pt idx="0">
                  <c:v>Söguleg losun</c:v>
                </c:pt>
              </c:strCache>
            </c:strRef>
          </c:tx>
          <c:spPr>
            <a:ln w="19050">
              <a:solidFill>
                <a:schemeClr val="tx1"/>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Data'!$I$11:$AX$11</c15:sqref>
                  </c15:fullRef>
                </c:ext>
              </c:extLst>
              <c:f>'Talnagögn | Numerical Data'!$X$11:$AX$11</c:f>
              <c:numCache>
                <c:formatCode>0</c:formatCode>
                <c:ptCount val="27"/>
                <c:pt idx="0">
                  <c:v>10756.551817797283</c:v>
                </c:pt>
                <c:pt idx="1">
                  <c:v>11367.523627979532</c:v>
                </c:pt>
                <c:pt idx="2">
                  <c:v>11581.148941089035</c:v>
                </c:pt>
                <c:pt idx="3">
                  <c:v>12008.008397489019</c:v>
                </c:pt>
                <c:pt idx="4">
                  <c:v>11663.863463364694</c:v>
                </c:pt>
                <c:pt idx="5">
                  <c:v>11507.933760432828</c:v>
                </c:pt>
                <c:pt idx="6">
                  <c:v>11238.929331848105</c:v>
                </c:pt>
                <c:pt idx="7">
                  <c:v>11205.75828828679</c:v>
                </c:pt>
                <c:pt idx="8">
                  <c:v>11175.091306213628</c:v>
                </c:pt>
                <c:pt idx="9">
                  <c:v>11157.280606792147</c:v>
                </c:pt>
                <c:pt idx="10">
                  <c:v>11185.406574133753</c:v>
                </c:pt>
                <c:pt idx="11">
                  <c:v>11090.380645858337</c:v>
                </c:pt>
                <c:pt idx="12">
                  <c:v>11110.787782013342</c:v>
                </c:pt>
                <c:pt idx="13">
                  <c:v>11116.873424084837</c:v>
                </c:pt>
                <c:pt idx="14">
                  <c:v>10954.672671347875</c:v>
                </c:pt>
                <c:pt idx="15">
                  <c:v>10739.599366683446</c:v>
                </c:pt>
                <c:pt idx="16">
                  <c:v>10859.037488554522</c:v>
                </c:pt>
                <c:pt idx="17">
                  <c:v>10914.365671051371</c:v>
                </c:pt>
                <c:pt idx="18">
                  <c:v>10812.790256718379</c:v>
                </c:pt>
                <c:pt idx="19">
                  <c:v>10998.010804706548</c:v>
                </c:pt>
                <c:pt idx="20">
                  <c:v>10569.755965240267</c:v>
                </c:pt>
              </c:numCache>
            </c:numRef>
          </c:val>
          <c:smooth val="0"/>
          <c:extLst>
            <c:ext xmlns:c16="http://schemas.microsoft.com/office/drawing/2014/chart" uri="{C3380CC4-5D6E-409C-BE32-E72D297353CC}">
              <c16:uniqueId val="{00000000-2F7F-45AD-BB96-363084A7C4A6}"/>
            </c:ext>
          </c:extLst>
        </c:ser>
        <c:ser>
          <c:idx val="5"/>
          <c:order val="1"/>
          <c:tx>
            <c:strRef>
              <c:f>'Talnagögn | Numerical Data'!$E$271</c:f>
              <c:strCache>
                <c:ptCount val="1"/>
                <c:pt idx="0">
                  <c:v>Losunarspá: Sviðsmynd byggð á aðgerðum stjórnvalda</c:v>
                </c:pt>
              </c:strCache>
            </c:strRef>
          </c:tx>
          <c:spPr>
            <a:ln w="19050">
              <a:solidFill>
                <a:schemeClr val="tx1"/>
              </a:solidFill>
              <a:prstDash val="dash"/>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Data'!$I$20:$BV$20</c15:sqref>
                  </c15:fullRef>
                </c:ext>
              </c:extLst>
              <c:f>'Talnagögn | Numerical Data'!$X$20:$BV$20</c:f>
              <c:numCache>
                <c:formatCode>0</c:formatCode>
                <c:ptCount val="51"/>
                <c:pt idx="20">
                  <c:v>10569.755965240267</c:v>
                </c:pt>
                <c:pt idx="21">
                  <c:v>10341.383743967606</c:v>
                </c:pt>
                <c:pt idx="22">
                  <c:v>10452.623225471718</c:v>
                </c:pt>
                <c:pt idx="23">
                  <c:v>10267.792231310888</c:v>
                </c:pt>
                <c:pt idx="24">
                  <c:v>10088.305018973047</c:v>
                </c:pt>
                <c:pt idx="25">
                  <c:v>9914.1037759841183</c:v>
                </c:pt>
                <c:pt idx="26">
                  <c:v>9778.1180441583092</c:v>
                </c:pt>
                <c:pt idx="27">
                  <c:v>9666.8417967291934</c:v>
                </c:pt>
                <c:pt idx="28">
                  <c:v>9563.542349732541</c:v>
                </c:pt>
                <c:pt idx="29">
                  <c:v>9443.9008602746089</c:v>
                </c:pt>
                <c:pt idx="30">
                  <c:v>9330.6522496710149</c:v>
                </c:pt>
                <c:pt idx="31">
                  <c:v>9229.2367132505769</c:v>
                </c:pt>
                <c:pt idx="32">
                  <c:v>9154.6084310141468</c:v>
                </c:pt>
                <c:pt idx="33">
                  <c:v>9047.7028903832124</c:v>
                </c:pt>
                <c:pt idx="34">
                  <c:v>8936.8752708926222</c:v>
                </c:pt>
                <c:pt idx="35">
                  <c:v>8827.0420467915465</c:v>
                </c:pt>
                <c:pt idx="36">
                  <c:v>8708.2702749798227</c:v>
                </c:pt>
                <c:pt idx="37">
                  <c:v>8577.4248291127788</c:v>
                </c:pt>
                <c:pt idx="38">
                  <c:v>8450.6679731882723</c:v>
                </c:pt>
                <c:pt idx="39">
                  <c:v>8317.033190391292</c:v>
                </c:pt>
                <c:pt idx="40">
                  <c:v>8189.6188746001562</c:v>
                </c:pt>
                <c:pt idx="41">
                  <c:v>8050.9268822995491</c:v>
                </c:pt>
                <c:pt idx="42">
                  <c:v>7911.7279017187966</c:v>
                </c:pt>
                <c:pt idx="43">
                  <c:v>7776.4696630919452</c:v>
                </c:pt>
                <c:pt idx="44">
                  <c:v>7636.8917330431614</c:v>
                </c:pt>
                <c:pt idx="45">
                  <c:v>7490.4144385486125</c:v>
                </c:pt>
                <c:pt idx="46">
                  <c:v>7335.8755281093636</c:v>
                </c:pt>
                <c:pt idx="47">
                  <c:v>7208.8851465165799</c:v>
                </c:pt>
                <c:pt idx="48">
                  <c:v>7079.4515398857229</c:v>
                </c:pt>
                <c:pt idx="49">
                  <c:v>6956.2152739157773</c:v>
                </c:pt>
                <c:pt idx="50">
                  <c:v>6845.3442757292642</c:v>
                </c:pt>
              </c:numCache>
            </c:numRef>
          </c:val>
          <c:smooth val="0"/>
          <c:extLst>
            <c:ext xmlns:c16="http://schemas.microsoft.com/office/drawing/2014/chart" uri="{C3380CC4-5D6E-409C-BE32-E72D297353CC}">
              <c16:uniqueId val="{00000001-2F7F-45AD-BB96-363084A7C4A6}"/>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1.1367398960676065E-3"/>
              <c:y val="0.13409592345045626"/>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668927785585237"/>
          <c:y val="0.35461382505307948"/>
          <c:w val="0.23022365250288077"/>
          <c:h val="0.29384344580880689"/>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29900943734936"/>
          <c:y val="2.2026271249592586E-2"/>
          <c:w val="0.58843048466344772"/>
          <c:h val="0.8784005359672038"/>
        </c:manualLayout>
      </c:layout>
      <c:lineChart>
        <c:grouping val="standard"/>
        <c:varyColors val="0"/>
        <c:ser>
          <c:idx val="3"/>
          <c:order val="0"/>
          <c:tx>
            <c:strRef>
              <c:f>'Skuldbindingar | Obligations'!$AC$11</c:f>
              <c:strCache>
                <c:ptCount val="1"/>
                <c:pt idx="0">
                  <c:v>LULUCF</c:v>
                </c:pt>
              </c:strCache>
            </c:strRef>
          </c:tx>
          <c:spPr>
            <a:ln w="19050" cap="rnd">
              <a:solidFill>
                <a:srgbClr val="00BDA2"/>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Data'!$X$267:$AX$267</c:f>
              <c:numCache>
                <c:formatCode>0</c:formatCode>
                <c:ptCount val="27"/>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5002-459E-83D1-FBF43E887657}"/>
            </c:ext>
          </c:extLst>
        </c:ser>
        <c:ser>
          <c:idx val="2"/>
          <c:order val="1"/>
          <c:tx>
            <c:strRef>
              <c:f>'Talnagögn | Numerical Data'!$G$266</c:f>
              <c:strCache>
                <c:ptCount val="1"/>
                <c:pt idx="0">
                  <c:v>ESR</c:v>
                </c:pt>
              </c:strCache>
            </c:strRef>
          </c:tx>
          <c:spPr>
            <a:ln w="19050" cap="rnd">
              <a:solidFill>
                <a:srgbClr val="338DE9"/>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Data'!$X$266:$AX$266</c:f>
              <c:numCache>
                <c:formatCode>0</c:formatCode>
                <c:ptCount val="27"/>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5002-459E-83D1-FBF43E887657}"/>
            </c:ext>
          </c:extLst>
        </c:ser>
        <c:ser>
          <c:idx val="0"/>
          <c:order val="2"/>
          <c:tx>
            <c:strRef>
              <c:f>'Talnagögn | Numerical Data'!$G$264</c:f>
              <c:strCache>
                <c:ptCount val="1"/>
                <c:pt idx="0">
                  <c:v>ETS Stationary Industries</c:v>
                </c:pt>
              </c:strCache>
            </c:strRef>
          </c:tx>
          <c:spPr>
            <a:ln w="19050" cap="rnd">
              <a:solidFill>
                <a:srgbClr val="FF7A64"/>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Data'!$X$264:$AX$264</c:f>
              <c:numCache>
                <c:formatCode>0</c:formatCode>
                <c:ptCount val="27"/>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5002-459E-83D1-FBF43E887657}"/>
            </c:ext>
          </c:extLst>
        </c:ser>
        <c:ser>
          <c:idx val="1"/>
          <c:order val="3"/>
          <c:tx>
            <c:strRef>
              <c:f>'Talnagögn | Numerical Data'!$G$265</c:f>
              <c:strCache>
                <c:ptCount val="1"/>
                <c:pt idx="0">
                  <c:v>Domestic Aviation (CO₂)</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Data'!$X$265:$AX$265</c:f>
              <c:numCache>
                <c:formatCode>0</c:formatCode>
                <c:ptCount val="27"/>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5002-459E-83D1-FBF43E887657}"/>
            </c:ext>
          </c:extLst>
        </c:ser>
        <c:ser>
          <c:idx val="4"/>
          <c:order val="4"/>
          <c:tx>
            <c:v>LULUCF WEM</c:v>
          </c:tx>
          <c:spPr>
            <a:ln w="19050" cap="rnd">
              <a:solidFill>
                <a:srgbClr val="00BDA2"/>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smooth val="0"/>
          <c:extLst>
            <c:ext xmlns:c16="http://schemas.microsoft.com/office/drawing/2014/chart" uri="{C3380CC4-5D6E-409C-BE32-E72D297353CC}">
              <c16:uniqueId val="{00000004-5002-459E-83D1-FBF43E887657}"/>
            </c:ext>
          </c:extLst>
        </c:ser>
        <c:ser>
          <c:idx val="5"/>
          <c:order val="5"/>
          <c:tx>
            <c:v>ESR WEM</c:v>
          </c:tx>
          <c:spPr>
            <a:ln w="19050" cap="rnd">
              <a:solidFill>
                <a:srgbClr val="338DE9"/>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smooth val="0"/>
          <c:extLst>
            <c:ext xmlns:c16="http://schemas.microsoft.com/office/drawing/2014/chart" uri="{C3380CC4-5D6E-409C-BE32-E72D297353CC}">
              <c16:uniqueId val="{00000005-5002-459E-83D1-FBF43E887657}"/>
            </c:ext>
          </c:extLst>
        </c:ser>
        <c:ser>
          <c:idx val="7"/>
          <c:order val="6"/>
          <c:tx>
            <c:v>ETS WEM</c:v>
          </c:tx>
          <c:spPr>
            <a:ln w="19050" cap="rnd">
              <a:solidFill>
                <a:srgbClr val="FF7A64"/>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smooth val="0"/>
          <c:extLst>
            <c:ext xmlns:c16="http://schemas.microsoft.com/office/drawing/2014/chart" uri="{C3380CC4-5D6E-409C-BE32-E72D297353CC}">
              <c16:uniqueId val="{00000007-5002-459E-83D1-FBF43E887657}"/>
            </c:ext>
          </c:extLst>
        </c:ser>
        <c:ser>
          <c:idx val="8"/>
          <c:order val="7"/>
          <c:tx>
            <c:v>CO2 DomAvi WEM</c:v>
          </c:tx>
          <c:spPr>
            <a:ln w="19050" cap="rnd">
              <a:solidFill>
                <a:schemeClr val="tx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smooth val="0"/>
          <c:extLst>
            <c:ext xmlns:c16="http://schemas.microsoft.com/office/drawing/2014/chart" uri="{C3380CC4-5D6E-409C-BE32-E72D297353CC}">
              <c16:uniqueId val="{00000008-5002-459E-83D1-FBF43E887657}"/>
            </c:ext>
          </c:extLst>
        </c:ser>
        <c:ser>
          <c:idx val="9"/>
          <c:order val="8"/>
          <c:tx>
            <c:v>CO2 DomAvi WAM</c:v>
          </c:tx>
          <c:spPr>
            <a:ln w="28575" cap="rnd">
              <a:solidFill>
                <a:schemeClr val="accent4">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5002-459E-83D1-FBF43E887657}"/>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6663835667707933E-4"/>
              <c:y val="0.201958263467716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ayout>
        <c:manualLayout>
          <c:xMode val="edge"/>
          <c:yMode val="edge"/>
          <c:x val="0.70799195418091132"/>
          <c:y val="0.24895168007901244"/>
          <c:w val="0.28280559712153291"/>
          <c:h val="0.4900446857452614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752159640578702E-2"/>
          <c:y val="2.4588972568666604E-2"/>
          <c:w val="0.63186769341009319"/>
          <c:h val="0.8754916198981505"/>
        </c:manualLayout>
      </c:layout>
      <c:lineChart>
        <c:grouping val="standard"/>
        <c:varyColors val="0"/>
        <c:ser>
          <c:idx val="1"/>
          <c:order val="0"/>
          <c:tx>
            <c:strRef>
              <c:f>'Talnagögn | Numerical Data'!$G$27</c:f>
              <c:strCache>
                <c:ptCount val="1"/>
                <c:pt idx="0">
                  <c:v>Historical Emissions</c:v>
                </c:pt>
              </c:strCache>
            </c:strRef>
          </c:tx>
          <c:spPr>
            <a:ln w="19050">
              <a:solidFill>
                <a:schemeClr val="tx1"/>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Data'!$I$11:$AX$11</c15:sqref>
                  </c15:fullRef>
                </c:ext>
              </c:extLst>
              <c:f>'Talnagögn | Numerical Data'!$X$11:$AX$11</c:f>
              <c:numCache>
                <c:formatCode>0</c:formatCode>
                <c:ptCount val="27"/>
                <c:pt idx="0">
                  <c:v>10756.551817797283</c:v>
                </c:pt>
                <c:pt idx="1">
                  <c:v>11367.523627979532</c:v>
                </c:pt>
                <c:pt idx="2">
                  <c:v>11581.148941089035</c:v>
                </c:pt>
                <c:pt idx="3">
                  <c:v>12008.008397489019</c:v>
                </c:pt>
                <c:pt idx="4">
                  <c:v>11663.863463364694</c:v>
                </c:pt>
                <c:pt idx="5">
                  <c:v>11507.933760432828</c:v>
                </c:pt>
                <c:pt idx="6">
                  <c:v>11238.929331848105</c:v>
                </c:pt>
                <c:pt idx="7">
                  <c:v>11205.75828828679</c:v>
                </c:pt>
                <c:pt idx="8">
                  <c:v>11175.091306213628</c:v>
                </c:pt>
                <c:pt idx="9">
                  <c:v>11157.280606792147</c:v>
                </c:pt>
                <c:pt idx="10">
                  <c:v>11185.406574133753</c:v>
                </c:pt>
                <c:pt idx="11">
                  <c:v>11090.380645858337</c:v>
                </c:pt>
                <c:pt idx="12">
                  <c:v>11110.787782013342</c:v>
                </c:pt>
                <c:pt idx="13">
                  <c:v>11116.873424084837</c:v>
                </c:pt>
                <c:pt idx="14">
                  <c:v>10954.672671347875</c:v>
                </c:pt>
                <c:pt idx="15">
                  <c:v>10739.599366683446</c:v>
                </c:pt>
                <c:pt idx="16">
                  <c:v>10859.037488554522</c:v>
                </c:pt>
                <c:pt idx="17">
                  <c:v>10914.365671051371</c:v>
                </c:pt>
                <c:pt idx="18">
                  <c:v>10812.790256718379</c:v>
                </c:pt>
                <c:pt idx="19">
                  <c:v>10998.010804706548</c:v>
                </c:pt>
                <c:pt idx="20">
                  <c:v>10569.755965240267</c:v>
                </c:pt>
              </c:numCache>
            </c:numRef>
          </c:val>
          <c:smooth val="0"/>
          <c:extLst>
            <c:ext xmlns:c16="http://schemas.microsoft.com/office/drawing/2014/chart" uri="{C3380CC4-5D6E-409C-BE32-E72D297353CC}">
              <c16:uniqueId val="{00000000-1805-43F6-96CC-5B52BB236C29}"/>
            </c:ext>
          </c:extLst>
        </c:ser>
        <c:ser>
          <c:idx val="5"/>
          <c:order val="1"/>
          <c:tx>
            <c:strRef>
              <c:f>'Talnagögn | Numerical Data'!$G$38</c:f>
              <c:strCache>
                <c:ptCount val="1"/>
                <c:pt idx="0">
                  <c:v>Emission Projections: Government Policy-Based Scenario</c:v>
                </c:pt>
              </c:strCache>
            </c:strRef>
          </c:tx>
          <c:spPr>
            <a:ln w="19050">
              <a:solidFill>
                <a:schemeClr val="tx1"/>
              </a:solidFill>
              <a:prstDash val="dash"/>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Data'!$I$20:$BV$20</c15:sqref>
                  </c15:fullRef>
                </c:ext>
              </c:extLst>
              <c:f>'Talnagögn | Numerical Data'!$X$20:$BV$20</c:f>
              <c:numCache>
                <c:formatCode>0</c:formatCode>
                <c:ptCount val="51"/>
                <c:pt idx="20">
                  <c:v>10569.755965240267</c:v>
                </c:pt>
                <c:pt idx="21">
                  <c:v>10341.383743967606</c:v>
                </c:pt>
                <c:pt idx="22">
                  <c:v>10452.623225471718</c:v>
                </c:pt>
                <c:pt idx="23">
                  <c:v>10267.792231310888</c:v>
                </c:pt>
                <c:pt idx="24">
                  <c:v>10088.305018973047</c:v>
                </c:pt>
                <c:pt idx="25">
                  <c:v>9914.1037759841183</c:v>
                </c:pt>
                <c:pt idx="26">
                  <c:v>9778.1180441583092</c:v>
                </c:pt>
                <c:pt idx="27">
                  <c:v>9666.8417967291934</c:v>
                </c:pt>
                <c:pt idx="28">
                  <c:v>9563.542349732541</c:v>
                </c:pt>
                <c:pt idx="29">
                  <c:v>9443.9008602746089</c:v>
                </c:pt>
                <c:pt idx="30">
                  <c:v>9330.6522496710149</c:v>
                </c:pt>
                <c:pt idx="31">
                  <c:v>9229.2367132505769</c:v>
                </c:pt>
                <c:pt idx="32">
                  <c:v>9154.6084310141468</c:v>
                </c:pt>
                <c:pt idx="33">
                  <c:v>9047.7028903832124</c:v>
                </c:pt>
                <c:pt idx="34">
                  <c:v>8936.8752708926222</c:v>
                </c:pt>
                <c:pt idx="35">
                  <c:v>8827.0420467915465</c:v>
                </c:pt>
                <c:pt idx="36">
                  <c:v>8708.2702749798227</c:v>
                </c:pt>
                <c:pt idx="37">
                  <c:v>8577.4248291127788</c:v>
                </c:pt>
                <c:pt idx="38">
                  <c:v>8450.6679731882723</c:v>
                </c:pt>
                <c:pt idx="39">
                  <c:v>8317.033190391292</c:v>
                </c:pt>
                <c:pt idx="40">
                  <c:v>8189.6188746001562</c:v>
                </c:pt>
                <c:pt idx="41">
                  <c:v>8050.9268822995491</c:v>
                </c:pt>
                <c:pt idx="42">
                  <c:v>7911.7279017187966</c:v>
                </c:pt>
                <c:pt idx="43">
                  <c:v>7776.4696630919452</c:v>
                </c:pt>
                <c:pt idx="44">
                  <c:v>7636.8917330431614</c:v>
                </c:pt>
                <c:pt idx="45">
                  <c:v>7490.4144385486125</c:v>
                </c:pt>
                <c:pt idx="46">
                  <c:v>7335.8755281093636</c:v>
                </c:pt>
                <c:pt idx="47">
                  <c:v>7208.8851465165799</c:v>
                </c:pt>
                <c:pt idx="48">
                  <c:v>7079.4515398857229</c:v>
                </c:pt>
                <c:pt idx="49">
                  <c:v>6956.2152739157773</c:v>
                </c:pt>
                <c:pt idx="50">
                  <c:v>6845.3442757292642</c:v>
                </c:pt>
              </c:numCache>
            </c:numRef>
          </c:val>
          <c:smooth val="0"/>
          <c:extLst>
            <c:ext xmlns:c16="http://schemas.microsoft.com/office/drawing/2014/chart" uri="{C3380CC4-5D6E-409C-BE32-E72D297353CC}">
              <c16:uniqueId val="{00000001-1805-43F6-96CC-5B52BB236C2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367398960676065E-3"/>
              <c:y val="0.13409592345045626"/>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2774726329940465"/>
          <c:y val="0.37136485501991601"/>
          <c:w val="0.27225276001813431"/>
          <c:h val="0.27866909396496964"/>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59247800954353E-2"/>
          <c:y val="3.2068601556463468E-2"/>
          <c:w val="0.64154045893719802"/>
          <c:h val="0.87355283835817943"/>
        </c:manualLayout>
      </c:layout>
      <c:lineChart>
        <c:grouping val="standard"/>
        <c:varyColors val="0"/>
        <c:ser>
          <c:idx val="0"/>
          <c:order val="0"/>
          <c:tx>
            <c:strRef>
              <c:f>'Talnagögn | Numerical Data'!$E$284</c:f>
              <c:strCache>
                <c:ptCount val="1"/>
                <c:pt idx="0">
                  <c:v>Vegasamgöngur</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F6C7-4AF1-AB20-D12F4E12AFE7}"/>
            </c:ext>
          </c:extLst>
        </c:ser>
        <c:ser>
          <c:idx val="2"/>
          <c:order val="1"/>
          <c:tx>
            <c:strRef>
              <c:f>'Talnagögn | Numerical Data'!$E$286</c:f>
              <c:strCache>
                <c:ptCount val="1"/>
                <c:pt idx="0">
                  <c:v>Landbúnaður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F6C7-4AF1-AB20-D12F4E12AFE7}"/>
            </c:ext>
          </c:extLst>
        </c:ser>
        <c:ser>
          <c:idx val="1"/>
          <c:order val="2"/>
          <c:tx>
            <c:strRef>
              <c:f>'Talnagögn | Numerical Data'!$E$285</c:f>
              <c:strCache>
                <c:ptCount val="1"/>
                <c:pt idx="0">
                  <c:v>Fiskiskip</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F6C7-4AF1-AB20-D12F4E12AFE7}"/>
            </c:ext>
          </c:extLst>
        </c:ser>
        <c:ser>
          <c:idx val="3"/>
          <c:order val="3"/>
          <c:tx>
            <c:strRef>
              <c:f>'Talnagögn | Numerical Data'!$E$287</c:f>
              <c:strCache>
                <c:ptCount val="1"/>
                <c:pt idx="0">
                  <c:v>Urðun úrgangs</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F6C7-4AF1-AB20-D12F4E12AFE7}"/>
            </c:ext>
          </c:extLst>
        </c:ser>
        <c:ser>
          <c:idx val="5"/>
          <c:order val="4"/>
          <c:tx>
            <c:strRef>
              <c:f>'Talnagögn | Numerical Data'!$E$289</c:f>
              <c:strCache>
                <c:ptCount val="1"/>
                <c:pt idx="0">
                  <c:v>Jarðvarmavirkjanir</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smooth val="0"/>
          <c:extLst>
            <c:ext xmlns:c16="http://schemas.microsoft.com/office/drawing/2014/chart" uri="{C3380CC4-5D6E-409C-BE32-E72D297353CC}">
              <c16:uniqueId val="{00000004-F6C7-4AF1-AB20-D12F4E12AFE7}"/>
            </c:ext>
          </c:extLst>
        </c:ser>
        <c:ser>
          <c:idx val="7"/>
          <c:order val="5"/>
          <c:tx>
            <c:strRef>
              <c:f>'Talnagögn | Numerical Data'!$E$294</c:f>
              <c:strCache>
                <c:ptCount val="1"/>
                <c:pt idx="0">
                  <c:v>Önnur losun</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smooth val="0"/>
          <c:extLst>
            <c:ext xmlns:c16="http://schemas.microsoft.com/office/drawing/2014/chart" uri="{C3380CC4-5D6E-409C-BE32-E72D297353CC}">
              <c16:uniqueId val="{00000005-F6C7-4AF1-AB20-D12F4E12AFE7}"/>
            </c:ext>
          </c:extLst>
        </c:ser>
        <c:ser>
          <c:idx val="4"/>
          <c:order val="6"/>
          <c:tx>
            <c:strRef>
              <c:f>'Talnagögn | Numerical Data'!$E$288</c:f>
              <c:strCache>
                <c:ptCount val="1"/>
                <c:pt idx="0">
                  <c:v>Kælibúnaður (F-gös)</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smooth val="0"/>
          <c:extLst>
            <c:ext xmlns:c16="http://schemas.microsoft.com/office/drawing/2014/chart" uri="{C3380CC4-5D6E-409C-BE32-E72D297353CC}">
              <c16:uniqueId val="{00000006-F6C7-4AF1-AB20-D12F4E12AFE7}"/>
            </c:ext>
          </c:extLst>
        </c:ser>
        <c:ser>
          <c:idx val="6"/>
          <c:order val="7"/>
          <c:tx>
            <c:strRef>
              <c:f>'Talnagögn | Numerical Data'!$E$290</c:f>
              <c:strCache>
                <c:ptCount val="1"/>
                <c:pt idx="0">
                  <c:v>Vélar og tæki</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smooth val="0"/>
          <c:extLst>
            <c:ext xmlns:c16="http://schemas.microsoft.com/office/drawing/2014/chart" uri="{C3380CC4-5D6E-409C-BE32-E72D297353CC}">
              <c16:uniqueId val="{00000007-F6C7-4AF1-AB20-D12F4E12AFE7}"/>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32681738526809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39269410759759"/>
          <c:y val="0.22471689814814816"/>
          <c:w val="0.19716338063758809"/>
          <c:h val="0.5565437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29546306711662E-2"/>
          <c:y val="3.2068601556463468E-2"/>
          <c:w val="0.63190938632670912"/>
          <c:h val="0.87355283835817943"/>
        </c:manualLayout>
      </c:layout>
      <c:lineChart>
        <c:grouping val="standard"/>
        <c:varyColors val="0"/>
        <c:ser>
          <c:idx val="0"/>
          <c:order val="0"/>
          <c:tx>
            <c:strRef>
              <c:f>'Talnagögn | Numerical Data'!$G$284</c:f>
              <c:strCache>
                <c:ptCount val="1"/>
                <c:pt idx="0">
                  <c:v>Road Transport</c:v>
                </c:pt>
              </c:strCache>
            </c:strRef>
          </c:tx>
          <c:spPr>
            <a:ln w="19050" cap="rnd">
              <a:solidFill>
                <a:srgbClr val="00827F"/>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2C29-4E73-AE76-E029BF734A2C}"/>
            </c:ext>
          </c:extLst>
        </c:ser>
        <c:ser>
          <c:idx val="2"/>
          <c:order val="1"/>
          <c:tx>
            <c:strRef>
              <c:f>'Talnagögn | Numerical Data'!$G$286</c:f>
              <c:strCache>
                <c:ptCount val="1"/>
                <c:pt idx="0">
                  <c:v>Agriculture</c:v>
                </c:pt>
              </c:strCache>
            </c:strRef>
          </c:tx>
          <c:spPr>
            <a:ln w="19050" cap="rnd">
              <a:solidFill>
                <a:srgbClr val="99E5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2C29-4E73-AE76-E029BF734A2C}"/>
            </c:ext>
          </c:extLst>
        </c:ser>
        <c:ser>
          <c:idx val="1"/>
          <c:order val="2"/>
          <c:tx>
            <c:strRef>
              <c:f>'Talnagögn | Numerical Data'!$G$285</c:f>
              <c:strCache>
                <c:ptCount val="1"/>
                <c:pt idx="0">
                  <c:v>Fishing</c:v>
                </c:pt>
              </c:strCache>
            </c:strRef>
          </c:tx>
          <c:spPr>
            <a:ln w="19050" cap="rnd">
              <a:solidFill>
                <a:srgbClr val="5E9FE8"/>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2C29-4E73-AE76-E029BF734A2C}"/>
            </c:ext>
          </c:extLst>
        </c:ser>
        <c:ser>
          <c:idx val="3"/>
          <c:order val="3"/>
          <c:tx>
            <c:strRef>
              <c:f>'Talnagögn | Numerical Data'!$G$287</c:f>
              <c:strCache>
                <c:ptCount val="1"/>
                <c:pt idx="0">
                  <c:v>Solid Waste Disposal on Land</c:v>
                </c:pt>
              </c:strCache>
            </c:strRef>
          </c:tx>
          <c:spPr>
            <a:ln w="19050" cap="rnd">
              <a:solidFill>
                <a:srgbClr val="FFBB8D"/>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2C29-4E73-AE76-E029BF734A2C}"/>
            </c:ext>
          </c:extLst>
        </c:ser>
        <c:ser>
          <c:idx val="7"/>
          <c:order val="4"/>
          <c:tx>
            <c:strRef>
              <c:f>'Talnagögn | Numerical Data'!$G$294</c:f>
              <c:strCache>
                <c:ptCount val="1"/>
                <c:pt idx="0">
                  <c:v>Other Emissions</c:v>
                </c:pt>
              </c:strCache>
            </c:strRef>
          </c:tx>
          <c:spPr>
            <a:ln w="19050" cap="rnd">
              <a:solidFill>
                <a:srgbClr val="DED9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Data'!$X$296:$AX$296</c:f>
              <c:numCache>
                <c:formatCode>0</c:formatCode>
                <c:ptCount val="27"/>
                <c:pt idx="0">
                  <c:v>742.32031739776471</c:v>
                </c:pt>
                <c:pt idx="1">
                  <c:v>782.43192395487813</c:v>
                </c:pt>
                <c:pt idx="2">
                  <c:v>813.80861156698472</c:v>
                </c:pt>
                <c:pt idx="3">
                  <c:v>788.92393594987618</c:v>
                </c:pt>
                <c:pt idx="4">
                  <c:v>620.11408324291324</c:v>
                </c:pt>
                <c:pt idx="5">
                  <c:v>603.70679033720216</c:v>
                </c:pt>
                <c:pt idx="6">
                  <c:v>605.08046469310432</c:v>
                </c:pt>
                <c:pt idx="7">
                  <c:v>563.36047904659506</c:v>
                </c:pt>
                <c:pt idx="8">
                  <c:v>579.96038563080492</c:v>
                </c:pt>
                <c:pt idx="9">
                  <c:v>600.81933517347238</c:v>
                </c:pt>
                <c:pt idx="10">
                  <c:v>588.42227777400137</c:v>
                </c:pt>
                <c:pt idx="11">
                  <c:v>605.19695858465855</c:v>
                </c:pt>
                <c:pt idx="12">
                  <c:v>572.43810028461928</c:v>
                </c:pt>
                <c:pt idx="13">
                  <c:v>590.80460061430995</c:v>
                </c:pt>
                <c:pt idx="14">
                  <c:v>594.75511008330955</c:v>
                </c:pt>
                <c:pt idx="15">
                  <c:v>549.70929237794712</c:v>
                </c:pt>
                <c:pt idx="16">
                  <c:v>505.00966136793625</c:v>
                </c:pt>
                <c:pt idx="17">
                  <c:v>553.86267241575911</c:v>
                </c:pt>
                <c:pt idx="18">
                  <c:v>518.15260110887357</c:v>
                </c:pt>
                <c:pt idx="19">
                  <c:v>575.35208700933572</c:v>
                </c:pt>
                <c:pt idx="20">
                  <c:v>541.05224792588001</c:v>
                </c:pt>
              </c:numCache>
            </c:numRef>
          </c:val>
          <c:smooth val="0"/>
          <c:extLst>
            <c:ext xmlns:c16="http://schemas.microsoft.com/office/drawing/2014/chart" uri="{C3380CC4-5D6E-409C-BE32-E72D297353CC}">
              <c16:uniqueId val="{00000004-2C29-4E73-AE76-E029BF734A2C}"/>
            </c:ext>
          </c:extLst>
        </c:ser>
        <c:ser>
          <c:idx val="4"/>
          <c:order val="5"/>
          <c:tx>
            <c:v>Vega WEM</c:v>
          </c:tx>
          <c:spPr>
            <a:ln w="19050" cap="rnd">
              <a:solidFill>
                <a:srgbClr val="00827F"/>
              </a:solidFill>
              <a:prstDash val="dash"/>
              <a:round/>
            </a:ln>
            <a:effectLst/>
          </c:spPr>
          <c:marker>
            <c:symbol val="none"/>
          </c:marker>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smooth val="0"/>
          <c:extLst>
            <c:ext xmlns:c16="http://schemas.microsoft.com/office/drawing/2014/chart" uri="{C3380CC4-5D6E-409C-BE32-E72D297353CC}">
              <c16:uniqueId val="{00000005-2C29-4E73-AE76-E029BF734A2C}"/>
            </c:ext>
          </c:extLst>
        </c:ser>
        <c:ser>
          <c:idx val="5"/>
          <c:order val="6"/>
          <c:tx>
            <c:v>Vega WAM</c:v>
          </c:tx>
          <c:spPr>
            <a:ln w="28575" cap="rnd">
              <a:solidFill>
                <a:schemeClr val="accent6"/>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2C29-4E73-AE76-E029BF734A2C}"/>
            </c:ext>
          </c:extLst>
        </c:ser>
        <c:ser>
          <c:idx val="6"/>
          <c:order val="7"/>
          <c:tx>
            <c:v>Land WEM</c:v>
          </c:tx>
          <c:spPr>
            <a:ln w="19050" cap="rnd">
              <a:solidFill>
                <a:srgbClr val="99E5DA"/>
              </a:solidFill>
              <a:prstDash val="dash"/>
              <a:round/>
            </a:ln>
            <a:effectLst/>
          </c:spPr>
          <c:marker>
            <c:symbol val="none"/>
          </c:marker>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smooth val="0"/>
          <c:extLst>
            <c:ext xmlns:c16="http://schemas.microsoft.com/office/drawing/2014/chart" uri="{C3380CC4-5D6E-409C-BE32-E72D297353CC}">
              <c16:uniqueId val="{00000007-2C29-4E73-AE76-E029BF734A2C}"/>
            </c:ext>
          </c:extLst>
        </c:ser>
        <c:ser>
          <c:idx val="8"/>
          <c:order val="8"/>
          <c:tx>
            <c:v>Land WAM</c:v>
          </c:tx>
          <c:spPr>
            <a:ln w="28575" cap="rnd">
              <a:solidFill>
                <a:schemeClr val="accent3">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2C29-4E73-AE76-E029BF734A2C}"/>
            </c:ext>
          </c:extLst>
        </c:ser>
        <c:ser>
          <c:idx val="9"/>
          <c:order val="9"/>
          <c:tx>
            <c:v>Fiski WEM</c:v>
          </c:tx>
          <c:spPr>
            <a:ln w="19050" cap="rnd">
              <a:solidFill>
                <a:srgbClr val="5E9FE8"/>
              </a:solidFill>
              <a:prstDash val="dash"/>
              <a:round/>
            </a:ln>
            <a:effectLst/>
          </c:spPr>
          <c:marker>
            <c:symbol val="none"/>
          </c:marker>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smooth val="0"/>
          <c:extLst>
            <c:ext xmlns:c16="http://schemas.microsoft.com/office/drawing/2014/chart" uri="{C3380CC4-5D6E-409C-BE32-E72D297353CC}">
              <c16:uniqueId val="{00000009-2C29-4E73-AE76-E029BF734A2C}"/>
            </c:ext>
          </c:extLst>
        </c:ser>
        <c:ser>
          <c:idx val="10"/>
          <c:order val="10"/>
          <c:tx>
            <c:v>Fiski WAM</c:v>
          </c:tx>
          <c:spPr>
            <a:ln w="28575" cap="rnd">
              <a:solidFill>
                <a:schemeClr val="accent5">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2C29-4E73-AE76-E029BF734A2C}"/>
            </c:ext>
          </c:extLst>
        </c:ser>
        <c:ser>
          <c:idx val="11"/>
          <c:order val="11"/>
          <c:tx>
            <c:v>Urðun WEM</c:v>
          </c:tx>
          <c:spPr>
            <a:ln w="19050" cap="rnd">
              <a:solidFill>
                <a:srgbClr val="FFBB8D"/>
              </a:solidFill>
              <a:prstDash val="dash"/>
              <a:round/>
            </a:ln>
            <a:effectLst/>
          </c:spPr>
          <c:marker>
            <c:symbol val="none"/>
          </c:marker>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smooth val="0"/>
          <c:extLst>
            <c:ext xmlns:c16="http://schemas.microsoft.com/office/drawing/2014/chart" uri="{C3380CC4-5D6E-409C-BE32-E72D297353CC}">
              <c16:uniqueId val="{0000000B-2C29-4E73-AE76-E029BF734A2C}"/>
            </c:ext>
          </c:extLst>
        </c:ser>
        <c:ser>
          <c:idx val="12"/>
          <c:order val="12"/>
          <c:tx>
            <c:v>Urðun WAM</c:v>
          </c:tx>
          <c:spPr>
            <a:ln w="28575" cap="rnd">
              <a:solidFill>
                <a:schemeClr val="accent1">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C-2C29-4E73-AE76-E029BF734A2C}"/>
            </c:ext>
          </c:extLst>
        </c:ser>
        <c:ser>
          <c:idx val="13"/>
          <c:order val="13"/>
          <c:tx>
            <c:v>Annað WEM</c:v>
          </c:tx>
          <c:spPr>
            <a:ln w="19050" cap="rnd">
              <a:solidFill>
                <a:schemeClr val="bg1">
                  <a:lumMod val="75000"/>
                </a:schemeClr>
              </a:solidFill>
              <a:prstDash val="dash"/>
              <a:round/>
            </a:ln>
            <a:effectLst/>
          </c:spPr>
          <c:marker>
            <c:symbol val="none"/>
          </c:marker>
          <c:val>
            <c:numRef>
              <c:f>'Talnagögn | Numerical Data'!$X$310:$BV$310</c:f>
              <c:numCache>
                <c:formatCode>0</c:formatCode>
                <c:ptCount val="51"/>
                <c:pt idx="18">
                  <c:v>518.15260110887357</c:v>
                </c:pt>
                <c:pt idx="20">
                  <c:v>541.05224792588001</c:v>
                </c:pt>
                <c:pt idx="21">
                  <c:v>509.85166031397011</c:v>
                </c:pt>
                <c:pt idx="22">
                  <c:v>522.54245825273813</c:v>
                </c:pt>
                <c:pt idx="23">
                  <c:v>478.95779642523297</c:v>
                </c:pt>
                <c:pt idx="24">
                  <c:v>459.94283667349004</c:v>
                </c:pt>
                <c:pt idx="25">
                  <c:v>448.87400420662539</c:v>
                </c:pt>
                <c:pt idx="26">
                  <c:v>425.41337663969642</c:v>
                </c:pt>
                <c:pt idx="27">
                  <c:v>423.55619661940403</c:v>
                </c:pt>
                <c:pt idx="28">
                  <c:v>436.42231343340455</c:v>
                </c:pt>
                <c:pt idx="29">
                  <c:v>425.33270333928112</c:v>
                </c:pt>
                <c:pt idx="30">
                  <c:v>414.603333556233</c:v>
                </c:pt>
                <c:pt idx="31">
                  <c:v>414.11951563205821</c:v>
                </c:pt>
                <c:pt idx="32">
                  <c:v>412.90419738715104</c:v>
                </c:pt>
                <c:pt idx="33">
                  <c:v>411.54498395850845</c:v>
                </c:pt>
                <c:pt idx="34">
                  <c:v>410.28024798472734</c:v>
                </c:pt>
                <c:pt idx="35">
                  <c:v>408.53989414410785</c:v>
                </c:pt>
                <c:pt idx="36">
                  <c:v>406.20870655206147</c:v>
                </c:pt>
                <c:pt idx="37">
                  <c:v>403.19441456397095</c:v>
                </c:pt>
                <c:pt idx="38">
                  <c:v>399.83570745345315</c:v>
                </c:pt>
                <c:pt idx="39">
                  <c:v>396.09477248454129</c:v>
                </c:pt>
                <c:pt idx="40">
                  <c:v>391.85759869284436</c:v>
                </c:pt>
                <c:pt idx="41">
                  <c:v>387.29774261501024</c:v>
                </c:pt>
                <c:pt idx="42">
                  <c:v>382.51255175431675</c:v>
                </c:pt>
                <c:pt idx="43">
                  <c:v>376.86991187312032</c:v>
                </c:pt>
                <c:pt idx="44">
                  <c:v>371.05052030896746</c:v>
                </c:pt>
                <c:pt idx="45">
                  <c:v>364.87560904373106</c:v>
                </c:pt>
                <c:pt idx="46">
                  <c:v>353.9007010058894</c:v>
                </c:pt>
                <c:pt idx="47">
                  <c:v>348.33718124190807</c:v>
                </c:pt>
                <c:pt idx="48">
                  <c:v>343.00781273895365</c:v>
                </c:pt>
                <c:pt idx="49">
                  <c:v>337.99197987955409</c:v>
                </c:pt>
                <c:pt idx="50">
                  <c:v>333.30318300858238</c:v>
                </c:pt>
              </c:numCache>
            </c:numRef>
          </c:val>
          <c:smooth val="0"/>
          <c:extLst>
            <c:ext xmlns:c16="http://schemas.microsoft.com/office/drawing/2014/chart" uri="{C3380CC4-5D6E-409C-BE32-E72D297353CC}">
              <c16:uniqueId val="{0000000D-2C29-4E73-AE76-E029BF734A2C}"/>
            </c:ext>
          </c:extLst>
        </c:ser>
        <c:ser>
          <c:idx val="14"/>
          <c:order val="14"/>
          <c:tx>
            <c:v>Annað WAM</c:v>
          </c:tx>
          <c:spPr>
            <a:ln w="28575" cap="rnd">
              <a:solidFill>
                <a:schemeClr val="accent3">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E-2C29-4E73-AE76-E029BF734A2C}"/>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9078939029272685E-3"/>
              <c:y val="0.226651157407407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ayout>
        <c:manualLayout>
          <c:xMode val="edge"/>
          <c:yMode val="edge"/>
          <c:x val="0.74576115485564309"/>
          <c:y val="0.32325655386262525"/>
          <c:w val="0.25423882428051026"/>
          <c:h val="0.385800373657320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06289217859234"/>
          <c:y val="6.3361021104523157E-2"/>
          <c:w val="0.49759947916666669"/>
          <c:h val="0.88462129629629627"/>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78F-41BB-B5DE-DAC34BF2288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78F-41BB-B5DE-DAC34BF2288C}"/>
              </c:ext>
            </c:extLst>
          </c:dPt>
          <c:dPt>
            <c:idx val="2"/>
            <c:bubble3D val="0"/>
            <c:spPr>
              <a:solidFill>
                <a:schemeClr val="tx2"/>
              </a:solidFill>
              <a:ln w="19050">
                <a:solidFill>
                  <a:schemeClr val="lt1"/>
                </a:solidFill>
              </a:ln>
              <a:effectLst/>
            </c:spPr>
            <c:extLst>
              <c:ext xmlns:c16="http://schemas.microsoft.com/office/drawing/2014/chart" uri="{C3380CC4-5D6E-409C-BE32-E72D297353CC}">
                <c16:uniqueId val="{00000005-478F-41BB-B5DE-DAC34BF2288C}"/>
              </c:ext>
            </c:extLst>
          </c:dPt>
          <c:dPt>
            <c:idx val="3"/>
            <c:bubble3D val="0"/>
            <c:spPr>
              <a:solidFill>
                <a:srgbClr val="FF7A64"/>
              </a:solidFill>
              <a:ln w="19050">
                <a:solidFill>
                  <a:schemeClr val="lt1"/>
                </a:solidFill>
              </a:ln>
              <a:effectLst/>
            </c:spPr>
            <c:extLst>
              <c:ext xmlns:c16="http://schemas.microsoft.com/office/drawing/2014/chart" uri="{C3380CC4-5D6E-409C-BE32-E72D297353CC}">
                <c16:uniqueId val="{00000007-478F-41BB-B5DE-DAC34BF2288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78F-41BB-B5DE-DAC34BF2288C}"/>
              </c:ext>
            </c:extLst>
          </c:dPt>
          <c:dLbls>
            <c:dLbl>
              <c:idx val="0"/>
              <c:layout>
                <c:manualLayout>
                  <c:x val="0.26218595290642149"/>
                  <c:y val="0.1455642448367673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Effort Sharing Regulation</a:t>
                    </a:r>
                    <a:endParaRPr lang="en-US" b="1"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434012F1-7D05-428E-A073-9BB80F980C98}" type="VALU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[VALUE]</a:t>
                    </a:fld>
                    <a:r>
                      <a:rPr lang="en-US"/>
                      <a:t> </a:t>
                    </a:r>
                    <a:r>
                      <a:rPr lang="en-US" sz="1100" b="0" i="0" u="none" strike="noStrike" kern="1200" baseline="0">
                        <a:solidFill>
                          <a:sysClr val="windowText" lastClr="000000"/>
                        </a:solidFill>
                      </a:rPr>
                      <a:t>kt CO₂e</a:t>
                    </a:r>
                    <a:endParaRPr lang="en-US"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146AD48A-2C81-41AB-8E05-558C9B077E63}"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116922209227381"/>
                      <c:h val="0.18867097552113718"/>
                    </c:manualLayout>
                  </c15:layout>
                  <c15:dlblFieldTable/>
                  <c15:showDataLabelsRange val="0"/>
                </c:ext>
                <c:ext xmlns:c16="http://schemas.microsoft.com/office/drawing/2014/chart" uri="{C3380CC4-5D6E-409C-BE32-E72D297353CC}">
                  <c16:uniqueId val="{00000001-478F-41BB-B5DE-DAC34BF2288C}"/>
                </c:ext>
              </c:extLst>
            </c:dLbl>
            <c:dLbl>
              <c:idx val="1"/>
              <c:delete val="1"/>
              <c:extLst>
                <c:ext xmlns:c15="http://schemas.microsoft.com/office/drawing/2012/chart" uri="{CE6537A1-D6FC-4f65-9D91-7224C49458BB}"/>
                <c:ext xmlns:c16="http://schemas.microsoft.com/office/drawing/2014/chart" uri="{C3380CC4-5D6E-409C-BE32-E72D297353CC}">
                  <c16:uniqueId val="{00000003-478F-41BB-B5DE-DAC34BF2288C}"/>
                </c:ext>
              </c:extLst>
            </c:dLbl>
            <c:dLbl>
              <c:idx val="2"/>
              <c:layout>
                <c:manualLayout>
                  <c:x val="-0.22758663360792014"/>
                  <c:y val="-0.20378994277147444"/>
                </c:manualLayout>
              </c:layout>
              <c:tx>
                <c:rich>
                  <a:bodyPr/>
                  <a:lstStyle/>
                  <a:p>
                    <a:r>
                      <a:rPr lang="en-US" sz="1200" b="1"/>
                      <a:t>LULUCF</a:t>
                    </a:r>
                    <a:endParaRPr lang="en-US" b="1" baseline="0"/>
                  </a:p>
                  <a:p>
                    <a:fld id="{039C6528-AD53-4F88-A7BA-69EADC9F42D1}" type="VALUE">
                      <a:rPr lang="en-US"/>
                      <a:pPr/>
                      <a:t>[VALUE]</a:t>
                    </a:fld>
                    <a:r>
                      <a:rPr lang="en-US"/>
                      <a:t> kt CO₂e</a:t>
                    </a:r>
                    <a:endParaRPr lang="en-US" baseline="0"/>
                  </a:p>
                  <a:p>
                    <a:fld id="{8C66DDBB-79A1-4BE0-A5E1-D40D0BCA548C}"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478F-41BB-B5DE-DAC34BF2288C}"/>
                </c:ext>
              </c:extLst>
            </c:dLbl>
            <c:dLbl>
              <c:idx val="3"/>
              <c:layout>
                <c:manualLayout>
                  <c:x val="0.2329687499432426"/>
                  <c:y val="-0.1979673729780037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ETS Stationary Industries</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r>
                      <a:rPr lang="en-US" sz="1100" b="0"/>
                      <a:t>1889 </a:t>
                    </a:r>
                    <a:r>
                      <a:rPr lang="en-US" sz="1100" b="0" i="0" u="none" strike="noStrike" kern="1200" baseline="0">
                        <a:solidFill>
                          <a:sysClr val="windowText" lastClr="000000"/>
                        </a:solidFill>
                      </a:rPr>
                      <a:t>kt CO₂e</a:t>
                    </a:r>
                    <a:endParaRPr lang="en-US" sz="1100" b="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r>
                      <a:rPr lang="en-US" sz="1100" b="0"/>
                      <a:t>17%</a:t>
                    </a:r>
                    <a:endParaRPr lang="en-US" sz="1050" b="0"/>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124719921083284"/>
                      <c:h val="0.18867097552113718"/>
                    </c:manualLayout>
                  </c15:layout>
                  <c15:showDataLabelsRange val="0"/>
                </c:ext>
                <c:ext xmlns:c16="http://schemas.microsoft.com/office/drawing/2014/chart" uri="{C3380CC4-5D6E-409C-BE32-E72D297353CC}">
                  <c16:uniqueId val="{00000007-478F-41BB-B5DE-DAC34BF2288C}"/>
                </c:ext>
              </c:extLst>
            </c:dLbl>
            <c:dLbl>
              <c:idx val="4"/>
              <c:layout>
                <c:manualLayout>
                  <c:x val="0.21555575709062044"/>
                  <c:y val="1.6871698299185349E-4"/>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Domestic Aviation (CO₂)</a:t>
                    </a:r>
                    <a:endParaRPr lang="en-US"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F16CDF37-C4AB-4546-B75C-EA8BA813CDAD}" type="VALU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[VALUE]</a:t>
                    </a:fld>
                    <a:r>
                      <a:rPr lang="en-US"/>
                      <a:t> </a:t>
                    </a:r>
                    <a:r>
                      <a:rPr lang="en-US" sz="1100" b="0" i="0" u="none" strike="noStrike" kern="1200" baseline="0">
                        <a:solidFill>
                          <a:sysClr val="windowText" lastClr="000000"/>
                        </a:solidFill>
                      </a:rPr>
                      <a:t>kt CO₂e</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7654823B-7DFF-49A3-A3E2-C251CE0DBDC7}"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50994783403418"/>
                      <c:h val="0.18867097552113718"/>
                    </c:manualLayout>
                  </c15:layout>
                  <c15:dlblFieldTable/>
                  <c15:showDataLabelsRange val="0"/>
                </c:ext>
                <c:ext xmlns:c16="http://schemas.microsoft.com/office/drawing/2014/chart" uri="{C3380CC4-5D6E-409C-BE32-E72D297353CC}">
                  <c16:uniqueId val="{00000009-478F-41BB-B5DE-DAC34BF2288C}"/>
                </c:ext>
              </c:extLst>
            </c:dLbl>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val>
            <c:numRef>
              <c:f>'Skuldbindingar | Obligations'!$F$9:$F$13</c:f>
              <c:numCache>
                <c:formatCode>0</c:formatCode>
                <c:ptCount val="5"/>
                <c:pt idx="0">
                  <c:v>2793.7564234823058</c:v>
                </c:pt>
                <c:pt idx="1">
                  <c:v>0</c:v>
                </c:pt>
                <c:pt idx="2">
                  <c:v>6080.3410384327608</c:v>
                </c:pt>
                <c:pt idx="3">
                  <c:v>1676.5843667418656</c:v>
                </c:pt>
                <c:pt idx="4">
                  <c:v>19.074136583333335</c:v>
                </c:pt>
              </c:numCache>
            </c:numRef>
          </c:val>
          <c:extLst>
            <c:ext xmlns:c15="http://schemas.microsoft.com/office/drawing/2012/chart" uri="{02D57815-91ED-43cb-92C2-25804820EDAC}">
              <c15:filteredSeriesTitle>
                <c15:tx>
                  <c:strRef>
                    <c:extLst>
                      <c:ext uri="{02D57815-91ED-43cb-92C2-25804820EDAC}">
                        <c15:formulaRef>
                          <c15:sqref>'Skuldbindingar | Obligations'!#REF!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'Skuldbindingar | Obligations'!$A$15:$A$18</c15:sqref>
                        </c15:formulaRef>
                      </c:ext>
                    </c:extLst>
                  </c:multiLvlStrRef>
                </c15:cat>
              </c15:filteredCategoryTitle>
            </c:ext>
            <c:ext xmlns:c16="http://schemas.microsoft.com/office/drawing/2014/chart" uri="{C3380CC4-5D6E-409C-BE32-E72D297353CC}">
              <c16:uniqueId val="{0000000A-478F-41BB-B5DE-DAC34BF2288C}"/>
            </c:ext>
          </c:extLst>
        </c:ser>
        <c:dLbls>
          <c:showLegendKey val="0"/>
          <c:showVal val="0"/>
          <c:showCatName val="0"/>
          <c:showSerName val="0"/>
          <c:showPercent val="0"/>
          <c:showBubbleSize val="0"/>
          <c:showLeaderLines val="1"/>
        </c:dLbls>
        <c:firstSliceAng val="93"/>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544690640812901"/>
          <c:y val="0.14826414666694421"/>
          <c:w val="0.43926732620414849"/>
          <c:h val="0.78029608146518925"/>
        </c:manualLayout>
      </c:layout>
      <c:doughnutChart>
        <c:varyColors val="1"/>
        <c:ser>
          <c:idx val="0"/>
          <c:order val="0"/>
          <c:dPt>
            <c:idx val="0"/>
            <c:bubble3D val="0"/>
            <c:spPr>
              <a:solidFill>
                <a:srgbClr val="00827F"/>
              </a:solidFill>
              <a:ln w="19050">
                <a:solidFill>
                  <a:schemeClr val="lt1"/>
                </a:solidFill>
              </a:ln>
              <a:effectLst/>
            </c:spPr>
            <c:extLst>
              <c:ext xmlns:c16="http://schemas.microsoft.com/office/drawing/2014/chart" uri="{C3380CC4-5D6E-409C-BE32-E72D297353CC}">
                <c16:uniqueId val="{00000001-B819-4727-8A4C-0B3BE1B408DA}"/>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B819-4727-8A4C-0B3BE1B408DA}"/>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B819-4727-8A4C-0B3BE1B408DA}"/>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B819-4727-8A4C-0B3BE1B408DA}"/>
              </c:ext>
            </c:extLst>
          </c:dPt>
          <c:dPt>
            <c:idx val="4"/>
            <c:bubble3D val="0"/>
            <c:spPr>
              <a:solidFill>
                <a:srgbClr val="00BDA2"/>
              </a:solidFill>
              <a:ln w="19050">
                <a:solidFill>
                  <a:schemeClr val="lt1"/>
                </a:solidFill>
              </a:ln>
              <a:effectLst/>
            </c:spPr>
            <c:extLst>
              <c:ext xmlns:c16="http://schemas.microsoft.com/office/drawing/2014/chart" uri="{C3380CC4-5D6E-409C-BE32-E72D297353CC}">
                <c16:uniqueId val="{00000009-B819-4727-8A4C-0B3BE1B408DA}"/>
              </c:ext>
            </c:extLst>
          </c:dPt>
          <c:dPt>
            <c:idx val="5"/>
            <c:bubble3D val="0"/>
            <c:spPr>
              <a:solidFill>
                <a:srgbClr val="FFBCB1"/>
              </a:solidFill>
              <a:ln w="19050">
                <a:solidFill>
                  <a:schemeClr val="lt1"/>
                </a:solidFill>
              </a:ln>
              <a:effectLst/>
            </c:spPr>
            <c:extLst>
              <c:ext xmlns:c16="http://schemas.microsoft.com/office/drawing/2014/chart" uri="{C3380CC4-5D6E-409C-BE32-E72D297353CC}">
                <c16:uniqueId val="{0000000B-B819-4727-8A4C-0B3BE1B408DA}"/>
              </c:ext>
            </c:extLst>
          </c:dPt>
          <c:dPt>
            <c:idx val="6"/>
            <c:bubble3D val="0"/>
            <c:spPr>
              <a:solidFill>
                <a:srgbClr val="0E547B"/>
              </a:solidFill>
              <a:ln w="19050">
                <a:solidFill>
                  <a:schemeClr val="lt1"/>
                </a:solidFill>
              </a:ln>
              <a:effectLst/>
            </c:spPr>
            <c:extLst>
              <c:ext xmlns:c16="http://schemas.microsoft.com/office/drawing/2014/chart" uri="{C3380CC4-5D6E-409C-BE32-E72D297353CC}">
                <c16:uniqueId val="{0000000D-B819-4727-8A4C-0B3BE1B408DA}"/>
              </c:ext>
            </c:extLst>
          </c:dPt>
          <c:dPt>
            <c:idx val="7"/>
            <c:bubble3D val="0"/>
            <c:spPr>
              <a:solidFill>
                <a:srgbClr val="DED9DA"/>
              </a:solidFill>
              <a:ln w="19050">
                <a:solidFill>
                  <a:schemeClr val="lt1"/>
                </a:solidFill>
              </a:ln>
              <a:effectLst/>
            </c:spPr>
            <c:extLst>
              <c:ext xmlns:c16="http://schemas.microsoft.com/office/drawing/2014/chart" uri="{C3380CC4-5D6E-409C-BE32-E72D297353CC}">
                <c16:uniqueId val="{0000000F-B819-4727-8A4C-0B3BE1B408DA}"/>
              </c:ext>
            </c:extLst>
          </c:dPt>
          <c:dLbls>
            <c:dLbl>
              <c:idx val="0"/>
              <c:layout>
                <c:manualLayout>
                  <c:x val="0.17242721127061375"/>
                  <c:y val="-0.1822685185185185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8F134B45-60AB-4EFF-A44E-B7C42C2C241C}" type="CATEGORYNAME">
                      <a:rPr lang="en-US" sz="1200" b="1">
                        <a:solidFill>
                          <a:schemeClr val="tx1"/>
                        </a:solidFill>
                      </a:rPr>
                      <a:pPr>
                        <a:defRPr sz="1000"/>
                      </a:pPr>
                      <a:t>[CATEGORY NAME]</a:t>
                    </a:fld>
                    <a:endParaRPr lang="en-US" b="1" baseline="0">
                      <a:solidFill>
                        <a:schemeClr val="tx1"/>
                      </a:solidFill>
                    </a:endParaRPr>
                  </a:p>
                  <a:p>
                    <a:pPr>
                      <a:defRPr sz="1000"/>
                    </a:pPr>
                    <a:fld id="{C081AAEE-B0EB-45C5-AFCD-EFBF337AEAAC}" type="VALUE">
                      <a:rPr lang="en-US">
                        <a:solidFill>
                          <a:schemeClr val="tx1"/>
                        </a:solidFill>
                      </a:rPr>
                      <a:pPr>
                        <a:defRPr sz="1000"/>
                      </a:pPr>
                      <a:t>[VALUE]</a:t>
                    </a:fld>
                    <a:r>
                      <a:rPr lang="en-US">
                        <a:solidFill>
                          <a:schemeClr val="tx1"/>
                        </a:solidFill>
                      </a:rPr>
                      <a:t> </a:t>
                    </a:r>
                    <a:r>
                      <a:rPr lang="en-US" sz="1100" b="0" i="0" u="none" strike="noStrike" kern="1200" baseline="0">
                        <a:solidFill>
                          <a:schemeClr val="tx1"/>
                        </a:solidFill>
                      </a:rPr>
                      <a:t>þús. tonn CO</a:t>
                    </a:r>
                    <a:r>
                      <a:rPr lang="en-US" sz="1100" b="0" i="0" u="none" strike="noStrike" kern="1200" baseline="-25000">
                        <a:solidFill>
                          <a:schemeClr val="tx1"/>
                        </a:solidFill>
                      </a:rPr>
                      <a:t>2</a:t>
                    </a:r>
                    <a:r>
                      <a:rPr lang="en-US" sz="1100" b="0" i="0" u="none" strike="noStrike" kern="1200" baseline="0">
                        <a:solidFill>
                          <a:schemeClr val="tx1"/>
                        </a:solidFill>
                      </a:rPr>
                      <a:t>-íg.</a:t>
                    </a:r>
                    <a:endParaRPr lang="en-US" baseline="0">
                      <a:solidFill>
                        <a:schemeClr val="tx1"/>
                      </a:solidFill>
                    </a:endParaRPr>
                  </a:p>
                  <a:p>
                    <a:pPr>
                      <a:defRPr sz="1000"/>
                    </a:pPr>
                    <a:fld id="{57ECB39C-78E2-4399-9B89-398C7C5415E8}" type="PERCENTAGE">
                      <a:rPr lang="en-US">
                        <a:solidFill>
                          <a:schemeClr val="tx1"/>
                        </a:solidFill>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B819-4727-8A4C-0B3BE1B408DA}"/>
                </c:ext>
              </c:extLst>
            </c:dLbl>
            <c:dLbl>
              <c:idx val="1"/>
              <c:layout>
                <c:manualLayout>
                  <c:x val="0.18425285832746682"/>
                  <c:y val="0.1412466688404330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6798545B-1822-4090-85A3-F3A28B5883A9}" type="CATEGORYNAME">
                      <a:rPr lang="en-US" sz="1200" b="1">
                        <a:solidFill>
                          <a:srgbClr val="00302F"/>
                        </a:solidFill>
                      </a:rPr>
                      <a:pPr>
                        <a:defRPr sz="1000"/>
                      </a:pPr>
                      <a:t>[CATEGORY NAME]</a:t>
                    </a:fld>
                    <a:endParaRPr lang="en-US" b="1" baseline="0">
                      <a:solidFill>
                        <a:srgbClr val="00302F"/>
                      </a:solidFill>
                    </a:endParaRPr>
                  </a:p>
                  <a:p>
                    <a:pPr>
                      <a:defRPr sz="1000"/>
                    </a:pPr>
                    <a:fld id="{BE5F71C0-B0F0-4839-99FB-DEB647B36382}" type="VALUE">
                      <a:rPr lang="en-US">
                        <a:solidFill>
                          <a:srgbClr val="00302F"/>
                        </a:solidFill>
                      </a:rPr>
                      <a:pPr>
                        <a:defRPr sz="1000"/>
                      </a:pPr>
                      <a:t>[VALUE]</a:t>
                    </a:fld>
                    <a:r>
                      <a:rPr lang="en-US">
                        <a:solidFill>
                          <a:srgbClr val="00302F"/>
                        </a:solidFill>
                      </a:rPr>
                      <a:t> </a:t>
                    </a:r>
                    <a:r>
                      <a:rPr lang="en-US" sz="1100" b="0" i="0" u="none" strike="noStrike" kern="1200" baseline="0">
                        <a:solidFill>
                          <a:srgbClr val="00302F"/>
                        </a:solidFill>
                      </a:rPr>
                      <a:t>þús. tonn CO</a:t>
                    </a:r>
                    <a:r>
                      <a:rPr lang="en-US" sz="1100" b="0" i="0" u="none" strike="noStrike" kern="1200" baseline="-25000">
                        <a:solidFill>
                          <a:srgbClr val="00302F"/>
                        </a:solidFill>
                      </a:rPr>
                      <a:t>2</a:t>
                    </a:r>
                    <a:r>
                      <a:rPr lang="en-US" sz="1100" b="0" i="0" u="none" strike="noStrike" kern="1200" baseline="0">
                        <a:solidFill>
                          <a:srgbClr val="00302F"/>
                        </a:solidFill>
                      </a:rPr>
                      <a:t>-íg.</a:t>
                    </a:r>
                    <a:endParaRPr lang="en-US" baseline="0">
                      <a:solidFill>
                        <a:srgbClr val="00302F"/>
                      </a:solidFill>
                    </a:endParaRPr>
                  </a:p>
                  <a:p>
                    <a:pPr>
                      <a:defRPr sz="1000"/>
                    </a:pPr>
                    <a:fld id="{F0BE0915-A431-44B4-8C9E-025EEA44EFFD}" type="PERCENTAGE">
                      <a:rPr lang="en-US">
                        <a:solidFill>
                          <a:srgbClr val="00302F"/>
                        </a:solidFill>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B819-4727-8A4C-0B3BE1B408DA}"/>
                </c:ext>
              </c:extLst>
            </c:dLbl>
            <c:dLbl>
              <c:idx val="2"/>
              <c:layout>
                <c:manualLayout>
                  <c:x val="-0.15290414629042351"/>
                  <c:y val="0.1410004003582586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31AD79E-CD1E-4A93-B424-49EA7326E962}" type="CATEGORYNAME">
                      <a:rPr lang="en-US" sz="1200" b="1"/>
                      <a:pPr>
                        <a:defRPr sz="1000"/>
                      </a:pPr>
                      <a:t>[CATEGORY NAME]</a:t>
                    </a:fld>
                    <a:endParaRPr lang="en-US" b="1" baseline="0"/>
                  </a:p>
                  <a:p>
                    <a:pPr>
                      <a:defRPr sz="1000"/>
                    </a:pPr>
                    <a:fld id="{9D8909FA-D788-4A51-8D9A-A9330F94B0D4}" type="VALUE">
                      <a:rPr lang="en-US"/>
                      <a:pPr>
                        <a:defRPr sz="1000"/>
                      </a:pPr>
                      <a:t>[VALUE]</a:t>
                    </a:fld>
                    <a:r>
                      <a:rPr lang="en-US"/>
                      <a:t> </a:t>
                    </a:r>
                    <a:r>
                      <a:rPr lang="en-US" sz="1100" b="0" i="0" u="none" strike="noStrike" kern="1200" baseline="0">
                        <a:solidFill>
                          <a:sysClr val="windowText" lastClr="000000"/>
                        </a:solidFill>
                      </a:rPr>
                      <a:t>þús. tonn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-íg</a:t>
                    </a:r>
                    <a:endParaRPr lang="en-US" baseline="0"/>
                  </a:p>
                  <a:p>
                    <a:pPr>
                      <a:defRPr sz="1000"/>
                    </a:pPr>
                    <a:fld id="{3B04F7BE-979A-40D3-ABC8-4FB704E12E36}" type="PERCENTAGE">
                      <a:rPr lang="en-US"/>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5-B819-4727-8A4C-0B3BE1B408DA}"/>
                </c:ext>
              </c:extLst>
            </c:dLbl>
            <c:dLbl>
              <c:idx val="3"/>
              <c:layout>
                <c:manualLayout>
                  <c:x val="-0.26140252045278184"/>
                  <c:y val="9.4581543071532048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24D39294-F625-4071-97B3-DE7C00F1C991}" type="CATEGORYNAME">
                      <a:rPr lang="en-US" sz="1200" b="1"/>
                      <a:pPr>
                        <a:defRPr sz="1000"/>
                      </a:pPr>
                      <a:t>[CATEGORY NAME]</a:t>
                    </a:fld>
                    <a:endParaRPr lang="en-US" sz="1000" b="1"/>
                  </a:p>
                  <a:p>
                    <a:pPr>
                      <a:defRPr sz="1000"/>
                    </a:pPr>
                    <a:fld id="{3EB77067-93BB-4E80-97CC-84C15DC1872E}"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8830D4F6-0328-49F3-823A-DBEB420284D3}"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B819-4727-8A4C-0B3BE1B408DA}"/>
                </c:ext>
              </c:extLst>
            </c:dLbl>
            <c:dLbl>
              <c:idx val="4"/>
              <c:layout>
                <c:manualLayout>
                  <c:x val="-0.18602598939696061"/>
                  <c:y val="-7.0950087294610019E-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52FA2D19-FC2D-46D0-8D5A-8BDEB449751D}" type="CATEGORYNAME">
                      <a:rPr lang="en-US" sz="1200" b="1"/>
                      <a:pPr>
                        <a:defRPr sz="1000"/>
                      </a:pPr>
                      <a:t>[CATEGORY NAME]</a:t>
                    </a:fld>
                    <a:endParaRPr lang="en-US" sz="1200" b="1"/>
                  </a:p>
                  <a:p>
                    <a:pPr>
                      <a:defRPr sz="1000"/>
                    </a:pPr>
                    <a:fld id="{FB8B9A9A-FD4B-4028-AA9D-6AAB3F3FE18C}"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E2918651-CA61-42AF-BBAC-C7F2C911C0D6}"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9-B819-4727-8A4C-0B3BE1B408DA}"/>
                </c:ext>
              </c:extLst>
            </c:dLbl>
            <c:dLbl>
              <c:idx val="5"/>
              <c:layout>
                <c:manualLayout>
                  <c:x val="-0.33244368015956222"/>
                  <c:y val="-0.1298426495737078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F5E2E0FC-1352-49D2-A4EC-CC19B47CBB16}" type="CATEGORYNAME">
                      <a:rPr lang="en-US" sz="1200" b="1"/>
                      <a:pPr>
                        <a:defRPr sz="1000"/>
                      </a:pPr>
                      <a:t>[CATEGORY NAME]</a:t>
                    </a:fld>
                    <a:endParaRPr lang="en-US" sz="1000" b="1"/>
                  </a:p>
                  <a:p>
                    <a:pPr>
                      <a:defRPr sz="1000"/>
                    </a:pPr>
                    <a:fld id="{B1F9B4A4-D2EF-4177-BC43-9C7748A3C7F2}"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AAF471AB-1DDD-4C04-AD01-392E4BAA401B}"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6840849516476"/>
                      <c:h val="0.17768270988884899"/>
                    </c:manualLayout>
                  </c15:layout>
                  <c15:dlblFieldTable/>
                  <c15:showDataLabelsRange val="0"/>
                </c:ext>
                <c:ext xmlns:c16="http://schemas.microsoft.com/office/drawing/2014/chart" uri="{C3380CC4-5D6E-409C-BE32-E72D297353CC}">
                  <c16:uniqueId val="{0000000B-B819-4727-8A4C-0B3BE1B408DA}"/>
                </c:ext>
              </c:extLst>
            </c:dLbl>
            <c:dLbl>
              <c:idx val="6"/>
              <c:layout>
                <c:manualLayout>
                  <c:x val="-0.25465402874270121"/>
                  <c:y val="-0.28662005450925848"/>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7FDB6C7-A016-49CD-B0A1-2FE8C5847C32}" type="CATEGORYNAME">
                      <a:rPr lang="en-US" sz="1200" b="1"/>
                      <a:pPr>
                        <a:defRPr sz="1000"/>
                      </a:pPr>
                      <a:t>[CATEGORY NAME]</a:t>
                    </a:fld>
                    <a:endParaRPr lang="en-US" sz="1000" b="1"/>
                  </a:p>
                  <a:p>
                    <a:pPr>
                      <a:defRPr sz="1000"/>
                    </a:pPr>
                    <a:fld id="{28D125C8-164D-4DBB-95C2-93A6FF948DF2}" type="VALUE">
                      <a:rPr lang="en-US" sz="1000"/>
                      <a:pPr>
                        <a:defRPr sz="1000"/>
                      </a:pPr>
                      <a:t>[VALUE]</a:t>
                    </a:fld>
                    <a:r>
                      <a:rPr lang="en-US" sz="1000"/>
                      <a:t> þús. tonn CO</a:t>
                    </a:r>
                    <a:r>
                      <a:rPr lang="en-US" sz="1000" baseline="-25000"/>
                      <a:t>2</a:t>
                    </a:r>
                    <a:r>
                      <a:rPr lang="en-US" sz="1000"/>
                      <a:t>-íg.</a:t>
                    </a:r>
                  </a:p>
                  <a:p>
                    <a:pPr>
                      <a:defRPr sz="1000"/>
                    </a:pPr>
                    <a:fld id="{D3577341-DE71-4811-9E6C-F8EFAD90E1F4}"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B819-4727-8A4C-0B3BE1B408DA}"/>
                </c:ext>
              </c:extLst>
            </c:dLbl>
            <c:dLbl>
              <c:idx val="7"/>
              <c:layout>
                <c:manualLayout>
                  <c:x val="-5.5951043847589949E-2"/>
                  <c:y val="-0.2346133819051073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3D0DB43D-A70F-4F5A-B215-468C98F5DF5A}" type="CATEGORYNAME">
                      <a:rPr lang="en-US" sz="1200" b="1"/>
                      <a:pPr>
                        <a:defRPr sz="1000"/>
                      </a:pPr>
                      <a:t>[CATEGORY NAME]</a:t>
                    </a:fld>
                    <a:endParaRPr lang="en-US" sz="1000" b="1"/>
                  </a:p>
                  <a:p>
                    <a:pPr>
                      <a:defRPr sz="1000"/>
                    </a:pPr>
                    <a:fld id="{7488063E-86A9-4793-A10F-AA777A6FA309}"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0854663E-D606-4BF9-953E-9E0444D68790}"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703432184749011"/>
                      <c:h val="0.14743777593420365"/>
                    </c:manualLayout>
                  </c15:layout>
                  <c15:dlblFieldTable/>
                  <c15:showDataLabelsRange val="0"/>
                </c:ext>
                <c:ext xmlns:c16="http://schemas.microsoft.com/office/drawing/2014/chart" uri="{C3380CC4-5D6E-409C-BE32-E72D297353CC}">
                  <c16:uniqueId val="{0000000F-B819-4727-8A4C-0B3BE1B408DA}"/>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Obligations'!$E$120:$E$127</c:f>
              <c:strCache>
                <c:ptCount val="8"/>
                <c:pt idx="0">
                  <c:v>Vegasamgöngur</c:v>
                </c:pt>
                <c:pt idx="1">
                  <c:v>Landbúnaður</c:v>
                </c:pt>
                <c:pt idx="2">
                  <c:v>Fiskiskip</c:v>
                </c:pt>
                <c:pt idx="3">
                  <c:v>Urðun úrgangs</c:v>
                </c:pt>
                <c:pt idx="4">
                  <c:v>Jarðvarmavirkjanir</c:v>
                </c:pt>
                <c:pt idx="5">
                  <c:v>Kælibúnaður (F-gös)</c:v>
                </c:pt>
                <c:pt idx="6">
                  <c:v>Vélar og tæki</c:v>
                </c:pt>
                <c:pt idx="7">
                  <c:v>Önnur losun</c:v>
                </c:pt>
              </c:strCache>
            </c:strRef>
          </c:cat>
          <c:val>
            <c:numRef>
              <c:f>'Skuldbindingar | Obligations'!$F$120:$F$127</c:f>
              <c:numCache>
                <c:formatCode>0</c:formatCode>
                <c:ptCount val="8"/>
                <c:pt idx="0">
                  <c:v>917.25938476071508</c:v>
                </c:pt>
                <c:pt idx="1">
                  <c:v>668.34042724521601</c:v>
                </c:pt>
                <c:pt idx="2">
                  <c:v>482.07188977314064</c:v>
                </c:pt>
                <c:pt idx="3">
                  <c:v>185.03247377735417</c:v>
                </c:pt>
                <c:pt idx="4">
                  <c:v>214.07609476451782</c:v>
                </c:pt>
                <c:pt idx="5">
                  <c:v>105.65811164441938</c:v>
                </c:pt>
                <c:pt idx="6">
                  <c:v>77.003200912657135</c:v>
                </c:pt>
                <c:pt idx="7">
                  <c:v>144.31484060428602</c:v>
                </c:pt>
              </c:numCache>
            </c:numRef>
          </c:val>
          <c:extLst>
            <c:ext xmlns:c16="http://schemas.microsoft.com/office/drawing/2014/chart" uri="{C3380CC4-5D6E-409C-BE32-E72D297353CC}">
              <c16:uniqueId val="{00000010-B819-4727-8A4C-0B3BE1B408DA}"/>
            </c:ext>
          </c:extLst>
        </c:ser>
        <c:dLbls>
          <c:showLegendKey val="0"/>
          <c:showVal val="0"/>
          <c:showCatName val="0"/>
          <c:showSerName val="0"/>
          <c:showPercent val="0"/>
          <c:showBubbleSize val="0"/>
          <c:showLeaderLines val="1"/>
        </c:dLbls>
        <c:firstSliceAng val="332"/>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rgbClr val="00302F"/>
          </a:solidFill>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544690640812901"/>
          <c:y val="0.14826414666694421"/>
          <c:w val="0.43926732620414849"/>
          <c:h val="0.78029608146518925"/>
        </c:manualLayout>
      </c:layout>
      <c:doughnutChart>
        <c:varyColors val="1"/>
        <c:ser>
          <c:idx val="0"/>
          <c:order val="0"/>
          <c:dPt>
            <c:idx val="0"/>
            <c:bubble3D val="0"/>
            <c:spPr>
              <a:solidFill>
                <a:srgbClr val="00827F"/>
              </a:solidFill>
              <a:ln w="19050">
                <a:solidFill>
                  <a:schemeClr val="lt1"/>
                </a:solidFill>
              </a:ln>
              <a:effectLst/>
            </c:spPr>
            <c:extLst>
              <c:ext xmlns:c16="http://schemas.microsoft.com/office/drawing/2014/chart" uri="{C3380CC4-5D6E-409C-BE32-E72D297353CC}">
                <c16:uniqueId val="{00000001-E381-4445-8AC4-6E4704969100}"/>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E381-4445-8AC4-6E4704969100}"/>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E381-4445-8AC4-6E4704969100}"/>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E381-4445-8AC4-6E4704969100}"/>
              </c:ext>
            </c:extLst>
          </c:dPt>
          <c:dPt>
            <c:idx val="4"/>
            <c:bubble3D val="0"/>
            <c:spPr>
              <a:solidFill>
                <a:srgbClr val="00BDA2"/>
              </a:solidFill>
              <a:ln w="19050">
                <a:solidFill>
                  <a:schemeClr val="lt1"/>
                </a:solidFill>
              </a:ln>
              <a:effectLst/>
            </c:spPr>
            <c:extLst>
              <c:ext xmlns:c16="http://schemas.microsoft.com/office/drawing/2014/chart" uri="{C3380CC4-5D6E-409C-BE32-E72D297353CC}">
                <c16:uniqueId val="{00000009-E381-4445-8AC4-6E4704969100}"/>
              </c:ext>
            </c:extLst>
          </c:dPt>
          <c:dPt>
            <c:idx val="5"/>
            <c:bubble3D val="0"/>
            <c:spPr>
              <a:solidFill>
                <a:srgbClr val="FFBCB1"/>
              </a:solidFill>
              <a:ln w="19050">
                <a:solidFill>
                  <a:schemeClr val="lt1"/>
                </a:solidFill>
              </a:ln>
              <a:effectLst/>
            </c:spPr>
            <c:extLst>
              <c:ext xmlns:c16="http://schemas.microsoft.com/office/drawing/2014/chart" uri="{C3380CC4-5D6E-409C-BE32-E72D297353CC}">
                <c16:uniqueId val="{0000000B-E381-4445-8AC4-6E4704969100}"/>
              </c:ext>
            </c:extLst>
          </c:dPt>
          <c:dPt>
            <c:idx val="6"/>
            <c:bubble3D val="0"/>
            <c:spPr>
              <a:solidFill>
                <a:srgbClr val="0E547B"/>
              </a:solidFill>
              <a:ln w="19050">
                <a:solidFill>
                  <a:schemeClr val="lt1"/>
                </a:solidFill>
              </a:ln>
              <a:effectLst/>
            </c:spPr>
            <c:extLst>
              <c:ext xmlns:c16="http://schemas.microsoft.com/office/drawing/2014/chart" uri="{C3380CC4-5D6E-409C-BE32-E72D297353CC}">
                <c16:uniqueId val="{0000000D-E381-4445-8AC4-6E4704969100}"/>
              </c:ext>
            </c:extLst>
          </c:dPt>
          <c:dPt>
            <c:idx val="7"/>
            <c:bubble3D val="0"/>
            <c:spPr>
              <a:solidFill>
                <a:srgbClr val="DED9DA"/>
              </a:solidFill>
              <a:ln w="19050">
                <a:solidFill>
                  <a:schemeClr val="lt1"/>
                </a:solidFill>
              </a:ln>
              <a:effectLst/>
            </c:spPr>
            <c:extLst>
              <c:ext xmlns:c16="http://schemas.microsoft.com/office/drawing/2014/chart" uri="{C3380CC4-5D6E-409C-BE32-E72D297353CC}">
                <c16:uniqueId val="{0000000F-E381-4445-8AC4-6E4704969100}"/>
              </c:ext>
            </c:extLst>
          </c:dPt>
          <c:dLbls>
            <c:dLbl>
              <c:idx val="0"/>
              <c:layout>
                <c:manualLayout>
                  <c:x val="0.17242721127061375"/>
                  <c:y val="-0.18226851851851852"/>
                </c:manualLayout>
              </c:layout>
              <c:tx>
                <c:rich>
                  <a:bodyPr/>
                  <a:lstStyle/>
                  <a:p>
                    <a:fld id="{8F134B45-60AB-4EFF-A44E-B7C42C2C241C}" type="CATEGORYNAME">
                      <a:rPr lang="en-US" sz="1200" b="1">
                        <a:solidFill>
                          <a:schemeClr val="tx1"/>
                        </a:solidFill>
                      </a:rPr>
                      <a:pPr/>
                      <a:t>[CATEGORY NAME]</a:t>
                    </a:fld>
                    <a:endParaRPr lang="en-US" b="1" baseline="0">
                      <a:solidFill>
                        <a:schemeClr val="tx1"/>
                      </a:solidFill>
                    </a:endParaRPr>
                  </a:p>
                  <a:p>
                    <a:fld id="{C081AAEE-B0EB-45C5-AFCD-EFBF337AEAAC}" type="VALUE">
                      <a:rPr lang="en-US">
                        <a:solidFill>
                          <a:schemeClr val="tx1"/>
                        </a:solidFill>
                      </a:rPr>
                      <a:pPr/>
                      <a:t>[VALUE]</a:t>
                    </a:fld>
                    <a:r>
                      <a:rPr lang="en-US">
                        <a:solidFill>
                          <a:schemeClr val="tx1"/>
                        </a:solidFill>
                      </a:rPr>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solidFill>
                        <a:schemeClr val="tx1"/>
                      </a:solidFill>
                    </a:endParaRPr>
                  </a:p>
                  <a:p>
                    <a:fld id="{57ECB39C-78E2-4399-9B89-398C7C5415E8}" type="PERCENTAGE">
                      <a:rPr lang="en-US">
                        <a:solidFill>
                          <a:schemeClr val="tx1"/>
                        </a:solidFill>
                      </a:rPr>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E381-4445-8AC4-6E4704969100}"/>
                </c:ext>
              </c:extLst>
            </c:dLbl>
            <c:dLbl>
              <c:idx val="1"/>
              <c:layout>
                <c:manualLayout>
                  <c:x val="0.18425285832746682"/>
                  <c:y val="0.14124666884043305"/>
                </c:manualLayout>
              </c:layout>
              <c:tx>
                <c:rich>
                  <a:bodyPr/>
                  <a:lstStyle/>
                  <a:p>
                    <a:fld id="{6798545B-1822-4090-85A3-F3A28B5883A9}" type="CATEGORYNAME">
                      <a:rPr lang="en-US" sz="1200" b="1">
                        <a:solidFill>
                          <a:srgbClr val="00302F"/>
                        </a:solidFill>
                      </a:rPr>
                      <a:pPr/>
                      <a:t>[CATEGORY NAME]</a:t>
                    </a:fld>
                    <a:endParaRPr lang="en-US" b="1" baseline="0">
                      <a:solidFill>
                        <a:srgbClr val="00302F"/>
                      </a:solidFill>
                    </a:endParaRPr>
                  </a:p>
                  <a:p>
                    <a:fld id="{BE5F71C0-B0F0-4839-99FB-DEB647B36382}" type="VALUE">
                      <a:rPr lang="en-US">
                        <a:solidFill>
                          <a:srgbClr val="00302F"/>
                        </a:solidFill>
                      </a:rPr>
                      <a:pPr/>
                      <a:t>[VALUE]</a:t>
                    </a:fld>
                    <a:r>
                      <a:rPr lang="en-US">
                        <a:solidFill>
                          <a:srgbClr val="00302F"/>
                        </a:solidFill>
                      </a:rPr>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solidFill>
                        <a:srgbClr val="00302F"/>
                      </a:solidFill>
                    </a:endParaRPr>
                  </a:p>
                  <a:p>
                    <a:fld id="{F0BE0915-A431-44B4-8C9E-025EEA44EFFD}" type="PERCENTAGE">
                      <a:rPr lang="en-US">
                        <a:solidFill>
                          <a:srgbClr val="00302F"/>
                        </a:solidFill>
                      </a:rPr>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E381-4445-8AC4-6E4704969100}"/>
                </c:ext>
              </c:extLst>
            </c:dLbl>
            <c:dLbl>
              <c:idx val="2"/>
              <c:layout>
                <c:manualLayout>
                  <c:x val="-0.15290414629042351"/>
                  <c:y val="0.14100040035825862"/>
                </c:manualLayout>
              </c:layout>
              <c:tx>
                <c:rich>
                  <a:bodyPr/>
                  <a:lstStyle/>
                  <a:p>
                    <a:fld id="{131AD79E-CD1E-4A93-B424-49EA7326E962}" type="CATEGORYNAME">
                      <a:rPr lang="en-US" sz="1200" b="1"/>
                      <a:pPr/>
                      <a:t>[CATEGORY NAME]</a:t>
                    </a:fld>
                    <a:endParaRPr lang="en-US" b="1" baseline="0"/>
                  </a:p>
                  <a:p>
                    <a:fld id="{9D8909FA-D788-4A51-8D9A-A9330F94B0D4}" type="VALUE">
                      <a:rPr lang="en-US"/>
                      <a:pPr/>
                      <a:t>[VALUE]</a:t>
                    </a:fld>
                    <a:r>
                      <a:rPr lang="en-US"/>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p>
                  <a:p>
                    <a:fld id="{3B04F7BE-979A-40D3-ABC8-4FB704E12E36}"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E381-4445-8AC4-6E4704969100}"/>
                </c:ext>
              </c:extLst>
            </c:dLbl>
            <c:dLbl>
              <c:idx val="3"/>
              <c:layout>
                <c:manualLayout>
                  <c:x val="-0.28452853460200994"/>
                  <c:y val="0.1334156587681292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24D39294-F625-4071-97B3-DE7C00F1C991}" type="CATEGORYNAME">
                      <a:rPr lang="en-US" sz="1200" b="1"/>
                      <a:pPr>
                        <a:defRPr sz="1000"/>
                      </a:pPr>
                      <a:t>[CATEGORY NAME]</a:t>
                    </a:fld>
                    <a:endParaRPr lang="en-US" sz="1000" b="1"/>
                  </a:p>
                  <a:p>
                    <a:pPr>
                      <a:defRPr sz="1000"/>
                    </a:pPr>
                    <a:fld id="{3EB77067-93BB-4E80-97CC-84C15DC1872E}"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a:p>
                  <a:p>
                    <a:pPr>
                      <a:defRPr sz="1000"/>
                    </a:pPr>
                    <a:fld id="{8830D4F6-0328-49F3-823A-DBEB420284D3}"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E381-4445-8AC4-6E4704969100}"/>
                </c:ext>
              </c:extLst>
            </c:dLbl>
            <c:dLbl>
              <c:idx val="4"/>
              <c:layout>
                <c:manualLayout>
                  <c:x val="-0.18602598939696061"/>
                  <c:y val="-7.0950087294610019E-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r>
                      <a:rPr lang="en-US" sz="1200" b="1"/>
                      <a:t>Geothermal Energy</a:t>
                    </a:r>
                  </a:p>
                  <a:p>
                    <a:pPr>
                      <a:defRPr sz="1000"/>
                    </a:pPr>
                    <a:fld id="{FB8B9A9A-FD4B-4028-AA9D-6AAB3F3FE18C}"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200" b="1"/>
                  </a:p>
                  <a:p>
                    <a:pPr>
                      <a:defRPr sz="1000"/>
                    </a:pPr>
                    <a:r>
                      <a:rPr lang="en-US" sz="1000" b="0"/>
                      <a:t>6.3%</a:t>
                    </a:r>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9-E381-4445-8AC4-6E4704969100}"/>
                </c:ext>
              </c:extLst>
            </c:dLbl>
            <c:dLbl>
              <c:idx val="5"/>
              <c:layout>
                <c:manualLayout>
                  <c:x val="-0.34569871879505887"/>
                  <c:y val="-9.4897289533314319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r>
                      <a:rPr lang="en-US" sz="1200" b="1"/>
                      <a:t>F-Gases</a:t>
                    </a:r>
                  </a:p>
                  <a:p>
                    <a:pPr>
                      <a:defRPr sz="1000"/>
                    </a:pPr>
                    <a:r>
                      <a:rPr lang="en-US" sz="1000" b="0"/>
                      <a:t>125</a:t>
                    </a:r>
                    <a:r>
                      <a:rPr lang="en-US" sz="1200" b="1"/>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200" b="1"/>
                  </a:p>
                  <a:p>
                    <a:pPr>
                      <a:defRPr sz="1000"/>
                    </a:pPr>
                    <a:r>
                      <a:rPr lang="en-US" sz="1000" b="0"/>
                      <a:t>4.4%</a:t>
                    </a:r>
                    <a:endParaRPr lang="en-US" sz="700" b="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6840849516476"/>
                      <c:h val="0.17768270988884899"/>
                    </c:manualLayout>
                  </c15:layout>
                  <c15:showDataLabelsRange val="0"/>
                </c:ext>
                <c:ext xmlns:c16="http://schemas.microsoft.com/office/drawing/2014/chart" uri="{C3380CC4-5D6E-409C-BE32-E72D297353CC}">
                  <c16:uniqueId val="{0000000B-E381-4445-8AC4-6E4704969100}"/>
                </c:ext>
              </c:extLst>
            </c:dLbl>
            <c:dLbl>
              <c:idx val="6"/>
              <c:layout>
                <c:manualLayout>
                  <c:x val="-0.3060175562285159"/>
                  <c:y val="-0.2387576374185009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7FDB6C7-A016-49CD-B0A1-2FE8C5847C32}" type="CATEGORYNAME">
                      <a:rPr lang="en-US" sz="1200" b="1"/>
                      <a:pPr>
                        <a:defRPr sz="1000"/>
                      </a:pPr>
                      <a:t>[CATEGORY NAME]</a:t>
                    </a:fld>
                    <a:endParaRPr lang="en-US" sz="1000" b="1"/>
                  </a:p>
                  <a:p>
                    <a:pPr>
                      <a:defRPr sz="1000"/>
                    </a:pPr>
                    <a:fld id="{28D125C8-164D-4DBB-95C2-93A6FF948DF2}"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p>
                  <a:p>
                    <a:pPr>
                      <a:defRPr sz="1000"/>
                    </a:pPr>
                    <a:fld id="{D3577341-DE71-4811-9E6C-F8EFAD90E1F4}"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369571604436388"/>
                      <c:h val="0.22748099444772338"/>
                    </c:manualLayout>
                  </c15:layout>
                  <c15:dlblFieldTable/>
                  <c15:showDataLabelsRange val="0"/>
                </c:ext>
                <c:ext xmlns:c16="http://schemas.microsoft.com/office/drawing/2014/chart" uri="{C3380CC4-5D6E-409C-BE32-E72D297353CC}">
                  <c16:uniqueId val="{0000000D-E381-4445-8AC4-6E4704969100}"/>
                </c:ext>
              </c:extLst>
            </c:dLbl>
            <c:dLbl>
              <c:idx val="7"/>
              <c:layout>
                <c:manualLayout>
                  <c:x val="-5.5951043847589949E-2"/>
                  <c:y val="-0.2346133819051073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3D0DB43D-A70F-4F5A-B215-468C98F5DF5A}" type="CATEGORYNAME">
                      <a:rPr lang="en-US" sz="1200" b="1"/>
                      <a:pPr>
                        <a:defRPr sz="1000"/>
                      </a:pPr>
                      <a:t>[CATEGORY NAME]</a:t>
                    </a:fld>
                    <a:endParaRPr lang="en-US" sz="1000" b="1"/>
                  </a:p>
                  <a:p>
                    <a:pPr>
                      <a:defRPr sz="1000"/>
                    </a:pPr>
                    <a:fld id="{7488063E-86A9-4793-A10F-AA777A6FA309}"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a:p>
                  <a:p>
                    <a:pPr>
                      <a:defRPr sz="1000"/>
                    </a:pPr>
                    <a:fld id="{0854663E-D606-4BF9-953E-9E0444D68790}"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703432184749011"/>
                      <c:h val="0.14743777593420365"/>
                    </c:manualLayout>
                  </c15:layout>
                  <c15:dlblFieldTable/>
                  <c15:showDataLabelsRange val="0"/>
                </c:ext>
                <c:ext xmlns:c16="http://schemas.microsoft.com/office/drawing/2014/chart" uri="{C3380CC4-5D6E-409C-BE32-E72D297353CC}">
                  <c16:uniqueId val="{0000000F-E381-4445-8AC4-6E4704969100}"/>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Obligations'!$U$120:$U$127</c:f>
              <c:strCache>
                <c:ptCount val="8"/>
                <c:pt idx="0">
                  <c:v>Road Transportation</c:v>
                </c:pt>
                <c:pt idx="1">
                  <c:v>Agriculture</c:v>
                </c:pt>
                <c:pt idx="2">
                  <c:v>Fishing</c:v>
                </c:pt>
                <c:pt idx="3">
                  <c:v>Solid Waste Disposal on Land</c:v>
                </c:pt>
                <c:pt idx="4">
                  <c:v>Geothermal Energy</c:v>
                </c:pt>
                <c:pt idx="5">
                  <c:v>F-Gases</c:v>
                </c:pt>
                <c:pt idx="6">
                  <c:v>Off-Road Vehicles and Other Machinery</c:v>
                </c:pt>
                <c:pt idx="7">
                  <c:v>Other Emissions</c:v>
                </c:pt>
              </c:strCache>
            </c:strRef>
          </c:cat>
          <c:val>
            <c:numRef>
              <c:f>'Skuldbindingar | Obligations'!$F$120:$F$127</c:f>
              <c:numCache>
                <c:formatCode>0</c:formatCode>
                <c:ptCount val="8"/>
                <c:pt idx="0">
                  <c:v>917.25938476071508</c:v>
                </c:pt>
                <c:pt idx="1">
                  <c:v>668.34042724521601</c:v>
                </c:pt>
                <c:pt idx="2">
                  <c:v>482.07188977314064</c:v>
                </c:pt>
                <c:pt idx="3">
                  <c:v>185.03247377735417</c:v>
                </c:pt>
                <c:pt idx="4">
                  <c:v>214.07609476451782</c:v>
                </c:pt>
                <c:pt idx="5">
                  <c:v>105.65811164441938</c:v>
                </c:pt>
                <c:pt idx="6">
                  <c:v>77.003200912657135</c:v>
                </c:pt>
                <c:pt idx="7">
                  <c:v>144.31484060428602</c:v>
                </c:pt>
              </c:numCache>
            </c:numRef>
          </c:val>
          <c:extLst>
            <c:ext xmlns:c16="http://schemas.microsoft.com/office/drawing/2014/chart" uri="{C3380CC4-5D6E-409C-BE32-E72D297353CC}">
              <c16:uniqueId val="{00000010-E381-4445-8AC4-6E4704969100}"/>
            </c:ext>
          </c:extLst>
        </c:ser>
        <c:dLbls>
          <c:showLegendKey val="0"/>
          <c:showVal val="0"/>
          <c:showCatName val="0"/>
          <c:showSerName val="0"/>
          <c:showPercent val="0"/>
          <c:showBubbleSize val="0"/>
          <c:showLeaderLines val="1"/>
        </c:dLbls>
        <c:firstSliceAng val="332"/>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rgbClr val="00302F"/>
          </a:solidFill>
        </a:defRPr>
      </a:pPr>
      <a:endParaRPr lang="en-US"/>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5433140096618359"/>
          <c:h val="0.87249074074074073"/>
        </c:manualLayout>
      </c:layout>
      <c:lineChart>
        <c:grouping val="standard"/>
        <c:varyColors val="0"/>
        <c:ser>
          <c:idx val="0"/>
          <c:order val="0"/>
          <c:tx>
            <c:v>Söguleg losun</c:v>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95E4-4AAC-B521-1BD9F95CB72F}"/>
            </c:ext>
          </c:extLst>
        </c:ser>
        <c:ser>
          <c:idx val="4"/>
          <c:order val="1"/>
          <c:tx>
            <c:v>Framreiknuð losun</c:v>
          </c:tx>
          <c:spPr>
            <a:ln w="19050" cap="rnd">
              <a:solidFill>
                <a:schemeClr val="accent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95E4-4AAC-B521-1BD9F95CB72F}"/>
            </c:ext>
          </c:extLst>
        </c:ser>
        <c:dLbls>
          <c:showLegendKey val="0"/>
          <c:showVal val="0"/>
          <c:showCatName val="0"/>
          <c:showSerName val="0"/>
          <c:showPercent val="0"/>
          <c:showBubbleSize val="0"/>
        </c:dLbls>
        <c:marker val="1"/>
        <c:smooth val="0"/>
        <c:axId val="1134840800"/>
        <c:axId val="1134837560"/>
      </c:lineChart>
      <c:scatterChart>
        <c:scatterStyle val="lineMarker"/>
        <c:varyColors val="0"/>
        <c:ser>
          <c:idx val="1"/>
          <c:order val="2"/>
          <c:tx>
            <c:v>Losunarúthlutanir (ESB)*</c:v>
          </c:tx>
          <c:spPr>
            <a:ln w="25400" cap="rnd">
              <a:noFill/>
              <a:round/>
            </a:ln>
            <a:effectLst/>
          </c:spPr>
          <c:marker>
            <c:symbol val="circle"/>
            <c:size val="5"/>
            <c:spPr>
              <a:solidFill>
                <a:srgbClr val="FF9A8A"/>
              </a:solidFill>
              <a:ln w="9525">
                <a:noFill/>
              </a:ln>
              <a:effectLst/>
            </c:spPr>
          </c:marker>
          <c:yVal>
            <c:numRef>
              <c:f>'Talnagögn | Numerical Data'!$X$314:$AX$314</c:f>
              <c:numCache>
                <c:formatCode>0</c:formatCode>
                <c:ptCount val="27"/>
                <c:pt idx="16">
                  <c:v>2876.15</c:v>
                </c:pt>
                <c:pt idx="17">
                  <c:v>2802.9929999999999</c:v>
                </c:pt>
                <c:pt idx="18">
                  <c:v>2681.9318887499999</c:v>
                </c:pt>
                <c:pt idx="19">
                  <c:v>2560.8707774999998</c:v>
                </c:pt>
                <c:pt idx="20">
                  <c:v>2439.8096662499997</c:v>
                </c:pt>
                <c:pt idx="21">
                  <c:v>2489.5706349302391</c:v>
                </c:pt>
                <c:pt idx="22">
                  <c:v>2325.8040036976795</c:v>
                </c:pt>
                <c:pt idx="23">
                  <c:v>2162.0373724651199</c:v>
                </c:pt>
                <c:pt idx="24">
                  <c:v>1998.2707412325601</c:v>
                </c:pt>
                <c:pt idx="25">
                  <c:v>1834.5041100000001</c:v>
                </c:pt>
              </c:numCache>
            </c:numRef>
          </c:yVal>
          <c:smooth val="0"/>
          <c:extLst>
            <c:ext xmlns:c16="http://schemas.microsoft.com/office/drawing/2014/chart" uri="{C3380CC4-5D6E-409C-BE32-E72D297353CC}">
              <c16:uniqueId val="{00000002-95E4-4AAC-B521-1BD9F95CB72F}"/>
            </c:ext>
          </c:extLst>
        </c:ser>
        <c:ser>
          <c:idx val="2"/>
          <c:order val="3"/>
          <c:tx>
            <c:v>Markmið um 50%-55% samdrátt (París)</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Data'!$BB$315</c:f>
              <c:numCache>
                <c:formatCode>0</c:formatCode>
                <c:ptCount val="1"/>
                <c:pt idx="0">
                  <c:v>1554.6645000000001</c:v>
                </c:pt>
              </c:numCache>
            </c:numRef>
          </c:yVal>
          <c:smooth val="0"/>
          <c:extLst>
            <c:ext xmlns:c16="http://schemas.microsoft.com/office/drawing/2014/chart" uri="{C3380CC4-5D6E-409C-BE32-E72D297353CC}">
              <c16:uniqueId val="{00000003-95E4-4AAC-B521-1BD9F95CB72F}"/>
            </c:ext>
          </c:extLst>
        </c:ser>
        <c:ser>
          <c:idx val="3"/>
          <c:order val="4"/>
          <c:tx>
            <c:v>París 2035 55%</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Data'!$BB$316</c:f>
              <c:numCache>
                <c:formatCode>0</c:formatCode>
                <c:ptCount val="1"/>
                <c:pt idx="0">
                  <c:v>1399.1980500000002</c:v>
                </c:pt>
              </c:numCache>
            </c:numRef>
          </c:yVal>
          <c:smooth val="0"/>
          <c:extLst>
            <c:ext xmlns:c16="http://schemas.microsoft.com/office/drawing/2014/chart" uri="{C3380CC4-5D6E-409C-BE32-E72D297353CC}">
              <c16:uniqueId val="{00000004-95E4-4AAC-B521-1BD9F95CB72F}"/>
            </c:ext>
          </c:extLst>
        </c:ser>
        <c:dLbls>
          <c:showLegendKey val="0"/>
          <c:showVal val="0"/>
          <c:showCatName val="0"/>
          <c:showSerName val="0"/>
          <c:showPercent val="0"/>
          <c:showBubbleSize val="0"/>
        </c:dLbls>
        <c:axId val="1134840800"/>
        <c:axId val="1134837560"/>
      </c:scatte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solidFill>
          <a:schemeClr val="bg1"/>
        </a:solidFill>
        <a:ln>
          <a:noFill/>
        </a:ln>
        <a:effectLst/>
      </c:spPr>
    </c:plotArea>
    <c:legend>
      <c:legendPos val="r"/>
      <c:legendEntry>
        <c:idx val="4"/>
        <c:delete val="1"/>
      </c:legendEntry>
      <c:layout>
        <c:manualLayout>
          <c:xMode val="edge"/>
          <c:yMode val="edge"/>
          <c:x val="0.76411455273756379"/>
          <c:y val="0.3280311241967131"/>
          <c:w val="0.22667119559631327"/>
          <c:h val="0.3180127908962677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2871930839153567"/>
          <c:h val="0.87249074074074073"/>
        </c:manualLayout>
      </c:layout>
      <c:lineChart>
        <c:grouping val="standard"/>
        <c:varyColors val="0"/>
        <c:ser>
          <c:idx val="0"/>
          <c:order val="0"/>
          <c:tx>
            <c:v>Historical Emissions</c:v>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744B-4E8A-B562-6FE07AEBF3A3}"/>
            </c:ext>
          </c:extLst>
        </c:ser>
        <c:ser>
          <c:idx val="4"/>
          <c:order val="1"/>
          <c:tx>
            <c:strRef>
              <c:f>'Talnagögn | Numerical Data'!$G$297</c:f>
              <c:strCache>
                <c:ptCount val="1"/>
                <c:pt idx="0">
                  <c:v>Emission Projections: Government Policy-Based Scenario</c:v>
                </c:pt>
              </c:strCache>
            </c:strRef>
          </c:tx>
          <c:spPr>
            <a:ln w="19050" cap="rnd">
              <a:solidFill>
                <a:schemeClr val="accent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744B-4E8A-B562-6FE07AEBF3A3}"/>
            </c:ext>
          </c:extLst>
        </c:ser>
        <c:dLbls>
          <c:showLegendKey val="0"/>
          <c:showVal val="0"/>
          <c:showCatName val="0"/>
          <c:showSerName val="0"/>
          <c:showPercent val="0"/>
          <c:showBubbleSize val="0"/>
        </c:dLbls>
        <c:marker val="1"/>
        <c:smooth val="0"/>
        <c:axId val="1134840800"/>
        <c:axId val="1134837560"/>
      </c:lineChart>
      <c:scatterChart>
        <c:scatterStyle val="lineMarker"/>
        <c:varyColors val="0"/>
        <c:ser>
          <c:idx val="1"/>
          <c:order val="2"/>
          <c:tx>
            <c:v>Emission Allocations (EU)*</c:v>
          </c:tx>
          <c:spPr>
            <a:ln w="25400" cap="rnd">
              <a:noFill/>
              <a:round/>
            </a:ln>
            <a:effectLst/>
          </c:spPr>
          <c:marker>
            <c:symbol val="circle"/>
            <c:size val="5"/>
            <c:spPr>
              <a:solidFill>
                <a:srgbClr val="FF9A8A"/>
              </a:solidFill>
              <a:ln w="9525">
                <a:noFill/>
              </a:ln>
              <a:effectLst/>
            </c:spPr>
          </c:marker>
          <c:yVal>
            <c:numRef>
              <c:f>'Talnagögn | Numerical Data'!$X$314:$AX$314</c:f>
              <c:numCache>
                <c:formatCode>0</c:formatCode>
                <c:ptCount val="27"/>
                <c:pt idx="16">
                  <c:v>2876.15</c:v>
                </c:pt>
                <c:pt idx="17">
                  <c:v>2802.9929999999999</c:v>
                </c:pt>
                <c:pt idx="18">
                  <c:v>2681.9318887499999</c:v>
                </c:pt>
                <c:pt idx="19">
                  <c:v>2560.8707774999998</c:v>
                </c:pt>
                <c:pt idx="20">
                  <c:v>2439.8096662499997</c:v>
                </c:pt>
                <c:pt idx="21">
                  <c:v>2489.5706349302391</c:v>
                </c:pt>
                <c:pt idx="22">
                  <c:v>2325.8040036976795</c:v>
                </c:pt>
                <c:pt idx="23">
                  <c:v>2162.0373724651199</c:v>
                </c:pt>
                <c:pt idx="24">
                  <c:v>1998.2707412325601</c:v>
                </c:pt>
                <c:pt idx="25">
                  <c:v>1834.5041100000001</c:v>
                </c:pt>
              </c:numCache>
            </c:numRef>
          </c:yVal>
          <c:smooth val="0"/>
          <c:extLst>
            <c:ext xmlns:c16="http://schemas.microsoft.com/office/drawing/2014/chart" uri="{C3380CC4-5D6E-409C-BE32-E72D297353CC}">
              <c16:uniqueId val="{00000002-744B-4E8A-B562-6FE07AEBF3A3}"/>
            </c:ext>
          </c:extLst>
        </c:ser>
        <c:ser>
          <c:idx val="2"/>
          <c:order val="3"/>
          <c:tx>
            <c:v>50%-55% Reduction Target (Paris)</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Data'!$BB$315</c:f>
              <c:numCache>
                <c:formatCode>0</c:formatCode>
                <c:ptCount val="1"/>
                <c:pt idx="0">
                  <c:v>1554.6645000000001</c:v>
                </c:pt>
              </c:numCache>
            </c:numRef>
          </c:yVal>
          <c:smooth val="0"/>
          <c:extLst>
            <c:ext xmlns:c16="http://schemas.microsoft.com/office/drawing/2014/chart" uri="{C3380CC4-5D6E-409C-BE32-E72D297353CC}">
              <c16:uniqueId val="{00000003-744B-4E8A-B562-6FE07AEBF3A3}"/>
            </c:ext>
          </c:extLst>
        </c:ser>
        <c:ser>
          <c:idx val="3"/>
          <c:order val="4"/>
          <c:tx>
            <c:v>París 2035 55%</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Data'!$BB$316</c:f>
              <c:numCache>
                <c:formatCode>0</c:formatCode>
                <c:ptCount val="1"/>
                <c:pt idx="0">
                  <c:v>1399.1980500000002</c:v>
                </c:pt>
              </c:numCache>
            </c:numRef>
          </c:yVal>
          <c:smooth val="0"/>
          <c:extLst>
            <c:ext xmlns:c16="http://schemas.microsoft.com/office/drawing/2014/chart" uri="{C3380CC4-5D6E-409C-BE32-E72D297353CC}">
              <c16:uniqueId val="{00000004-744B-4E8A-B562-6FE07AEBF3A3}"/>
            </c:ext>
          </c:extLst>
        </c:ser>
        <c:dLbls>
          <c:showLegendKey val="0"/>
          <c:showVal val="0"/>
          <c:showCatName val="0"/>
          <c:showSerName val="0"/>
          <c:showPercent val="0"/>
          <c:showBubbleSize val="0"/>
        </c:dLbls>
        <c:axId val="1134840800"/>
        <c:axId val="1134837560"/>
      </c:scatte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solidFill>
          <a:schemeClr val="bg1"/>
        </a:solidFill>
        <a:ln>
          <a:noFill/>
        </a:ln>
        <a:effectLst/>
      </c:spPr>
    </c:plotArea>
    <c:legend>
      <c:legendPos val="r"/>
      <c:legendEntry>
        <c:idx val="4"/>
        <c:delete val="1"/>
      </c:legendEntry>
      <c:layout>
        <c:manualLayout>
          <c:xMode val="edge"/>
          <c:yMode val="edge"/>
          <c:x val="0.74007443638377479"/>
          <c:y val="0.3519525324125467"/>
          <c:w val="0.25992556361622515"/>
          <c:h val="0.3080983204559311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2840628998973957"/>
          <c:h val="0.8818801153092336"/>
        </c:manualLayout>
      </c:layout>
      <c:areaChart>
        <c:grouping val="stacked"/>
        <c:varyColors val="0"/>
        <c:ser>
          <c:idx val="3"/>
          <c:order val="3"/>
          <c:tx>
            <c:v>Heildarlosun samfélagslosunar</c:v>
          </c:tx>
          <c:spPr>
            <a:solidFill>
              <a:schemeClr val="accent1">
                <a:alpha val="30000"/>
              </a:schemeClr>
            </a:solidFill>
            <a:ln w="25400">
              <a:noFill/>
            </a:ln>
            <a:effectLst/>
          </c:spP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Data'!$X$295:$AX$295</c15:sqref>
                  </c15:fullRef>
                </c:ext>
              </c:extLst>
              <c:f>'Talnagögn | Numerical Data'!$X$295:$AR$295</c:f>
              <c:numCache>
                <c:formatCode>0</c:formatCode>
                <c:ptCount val="21"/>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extLst>
            <c:ext xmlns:c16="http://schemas.microsoft.com/office/drawing/2014/chart" uri="{C3380CC4-5D6E-409C-BE32-E72D297353CC}">
              <c16:uniqueId val="{00000000-5187-4DFE-BD05-CD14C7F37FAD}"/>
            </c:ext>
          </c:extLst>
        </c:ser>
        <c:dLbls>
          <c:showLegendKey val="0"/>
          <c:showVal val="0"/>
          <c:showCatName val="0"/>
          <c:showSerName val="0"/>
          <c:showPercent val="0"/>
          <c:showBubbleSize val="0"/>
        </c:dLbls>
        <c:axId val="1134840800"/>
        <c:axId val="1134837560"/>
      </c:areaChart>
      <c:lineChart>
        <c:grouping val="standard"/>
        <c:varyColors val="0"/>
        <c:ser>
          <c:idx val="0"/>
          <c:order val="0"/>
          <c:tx>
            <c:strRef>
              <c:f>'Talnagögn | Numerical Data'!$E$298</c:f>
              <c:strCache>
                <c:ptCount val="1"/>
                <c:pt idx="0">
                  <c:v>Vegasamgöngur</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1-5187-4DFE-BD05-CD14C7F37FAD}"/>
            </c:ext>
          </c:extLst>
        </c:ser>
        <c:ser>
          <c:idx val="2"/>
          <c:order val="1"/>
          <c:tx>
            <c:strRef>
              <c:f>'Talnagögn | Numerical Data'!$E$286</c:f>
              <c:strCache>
                <c:ptCount val="1"/>
                <c:pt idx="0">
                  <c:v>Landbúnaður</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2-5187-4DFE-BD05-CD14C7F37FAD}"/>
            </c:ext>
          </c:extLst>
        </c:ser>
        <c:ser>
          <c:idx val="1"/>
          <c:order val="2"/>
          <c:tx>
            <c:strRef>
              <c:f>'Talnagögn | Numerical Data'!$E$285</c:f>
              <c:strCache>
                <c:ptCount val="1"/>
                <c:pt idx="0">
                  <c:v>Fiskiskip</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3-5187-4DFE-BD05-CD14C7F37FAD}"/>
            </c:ext>
          </c:extLst>
        </c:ser>
        <c:dLbls>
          <c:showLegendKey val="0"/>
          <c:showVal val="0"/>
          <c:showCatName val="0"/>
          <c:showSerName val="0"/>
          <c:showPercent val="0"/>
          <c:showBubbleSize val="0"/>
        </c:dLbls>
        <c:marker val="1"/>
        <c:smooth val="0"/>
        <c:axId val="1134840800"/>
        <c:axId val="1134837560"/>
      </c:lineChart>
      <c:date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lgn="ctr">
              <a:defRPr sz="900" b="0" i="0" u="none" strike="noStrike" kern="1200" baseline="0">
                <a:solidFill>
                  <a:sysClr val="windowText" lastClr="000000"/>
                </a:solidFill>
                <a:latin typeface="+mn-lt"/>
                <a:ea typeface="+mn-ea"/>
                <a:cs typeface="+mn-cs"/>
              </a:defRPr>
            </a:pPr>
            <a:endParaRPr lang="en-US"/>
          </a:p>
        </c:txPr>
        <c:crossAx val="1134837560"/>
        <c:crosses val="autoZero"/>
        <c:auto val="0"/>
        <c:lblOffset val="100"/>
        <c:baseTimeUnit val="days"/>
      </c:date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134840800"/>
        <c:crosses val="autoZero"/>
        <c:crossBetween val="midCat"/>
      </c:valAx>
      <c:spPr>
        <a:noFill/>
        <a:ln w="25400">
          <a:noFill/>
        </a:ln>
        <a:effectLst/>
      </c:spPr>
    </c:plotArea>
    <c:legend>
      <c:legendPos val="r"/>
      <c:layout>
        <c:manualLayout>
          <c:xMode val="edge"/>
          <c:yMode val="edge"/>
          <c:x val="0.73358446409425748"/>
          <c:y val="0.34890698524137798"/>
          <c:w val="0.26641553590574241"/>
          <c:h val="0.3012216753862735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2840628998973957"/>
          <c:h val="0.8818801153092336"/>
        </c:manualLayout>
      </c:layout>
      <c:areaChart>
        <c:grouping val="stacked"/>
        <c:varyColors val="0"/>
        <c:ser>
          <c:idx val="3"/>
          <c:order val="3"/>
          <c:tx>
            <c:v>Total ESR Emissions</c:v>
          </c:tx>
          <c:spPr>
            <a:solidFill>
              <a:schemeClr val="accent1">
                <a:alpha val="30000"/>
              </a:schemeClr>
            </a:solidFill>
            <a:ln w="25400">
              <a:noFill/>
            </a:ln>
            <a:effectLst/>
          </c:spP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Data'!$X$295:$AX$295</c15:sqref>
                  </c15:fullRef>
                </c:ext>
              </c:extLst>
              <c:f>'Talnagögn | Numerical Data'!$X$295:$AR$295</c:f>
              <c:numCache>
                <c:formatCode>0</c:formatCode>
                <c:ptCount val="21"/>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extLst>
            <c:ext xmlns:c16="http://schemas.microsoft.com/office/drawing/2014/chart" uri="{C3380CC4-5D6E-409C-BE32-E72D297353CC}">
              <c16:uniqueId val="{00000000-BC0B-4EA1-A42C-69BD42CCD795}"/>
            </c:ext>
          </c:extLst>
        </c:ser>
        <c:dLbls>
          <c:showLegendKey val="0"/>
          <c:showVal val="0"/>
          <c:showCatName val="0"/>
          <c:showSerName val="0"/>
          <c:showPercent val="0"/>
          <c:showBubbleSize val="0"/>
        </c:dLbls>
        <c:axId val="1134840800"/>
        <c:axId val="1134837560"/>
      </c:areaChart>
      <c:lineChart>
        <c:grouping val="standard"/>
        <c:varyColors val="0"/>
        <c:ser>
          <c:idx val="0"/>
          <c:order val="0"/>
          <c:tx>
            <c:strRef>
              <c:f>'Talnagögn | Numerical Data'!$G$284</c:f>
              <c:strCache>
                <c:ptCount val="1"/>
                <c:pt idx="0">
                  <c:v>Road Transport</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1-BC0B-4EA1-A42C-69BD42CCD795}"/>
            </c:ext>
          </c:extLst>
        </c:ser>
        <c:ser>
          <c:idx val="2"/>
          <c:order val="1"/>
          <c:tx>
            <c:strRef>
              <c:f>'Talnagögn | Numerical Data'!$G$286</c:f>
              <c:strCache>
                <c:ptCount val="1"/>
                <c:pt idx="0">
                  <c:v>Agriculture</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2-BC0B-4EA1-A42C-69BD42CCD795}"/>
            </c:ext>
          </c:extLst>
        </c:ser>
        <c:ser>
          <c:idx val="1"/>
          <c:order val="2"/>
          <c:tx>
            <c:strRef>
              <c:f>'Talnagögn | Numerical Data'!$G$285</c:f>
              <c:strCache>
                <c:ptCount val="1"/>
                <c:pt idx="0">
                  <c:v>Fishing</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3-BC0B-4EA1-A42C-69BD42CCD795}"/>
            </c:ext>
          </c:extLst>
        </c:ser>
        <c:dLbls>
          <c:showLegendKey val="0"/>
          <c:showVal val="0"/>
          <c:showCatName val="0"/>
          <c:showSerName val="0"/>
          <c:showPercent val="0"/>
          <c:showBubbleSize val="0"/>
        </c:dLbls>
        <c:marker val="1"/>
        <c:smooth val="0"/>
        <c:axId val="1134840800"/>
        <c:axId val="1134837560"/>
      </c:lineChart>
      <c:date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lgn="ctr">
              <a:defRPr sz="900" b="0" i="0" u="none" strike="noStrike" kern="1200" baseline="0">
                <a:solidFill>
                  <a:sysClr val="windowText" lastClr="000000"/>
                </a:solidFill>
                <a:latin typeface="+mn-lt"/>
                <a:ea typeface="+mn-ea"/>
                <a:cs typeface="+mn-cs"/>
              </a:defRPr>
            </a:pPr>
            <a:endParaRPr lang="en-US"/>
          </a:p>
        </c:txPr>
        <c:crossAx val="1134837560"/>
        <c:crosses val="autoZero"/>
        <c:auto val="0"/>
        <c:lblOffset val="100"/>
        <c:baseTimeUnit val="days"/>
      </c:date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134840800"/>
        <c:crosses val="autoZero"/>
        <c:crossBetween val="midCat"/>
      </c:valAx>
      <c:spPr>
        <a:noFill/>
        <a:ln w="25400">
          <a:noFill/>
        </a:ln>
        <a:effectLst/>
      </c:spPr>
    </c:plotArea>
    <c:legend>
      <c:legendPos val="r"/>
      <c:layout>
        <c:manualLayout>
          <c:xMode val="edge"/>
          <c:yMode val="edge"/>
          <c:x val="0.73358446409425748"/>
          <c:y val="0.34890698524137798"/>
          <c:w val="0.26641553590574241"/>
          <c:h val="0.3012216753862735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967267312739757E-2"/>
          <c:y val="3.2068608917919739E-2"/>
          <c:w val="0.63703661105785936"/>
          <c:h val="0.87355280933180446"/>
        </c:manualLayout>
      </c:layout>
      <c:lineChart>
        <c:grouping val="standard"/>
        <c:varyColors val="0"/>
        <c:ser>
          <c:idx val="0"/>
          <c:order val="0"/>
          <c:tx>
            <c:strRef>
              <c:f>'Talnagögn | Numerical Data'!$E$284</c:f>
              <c:strCache>
                <c:ptCount val="1"/>
                <c:pt idx="0">
                  <c:v>Vegasamgöngur</c:v>
                </c:pt>
              </c:strCache>
            </c:strRef>
          </c:tx>
          <c:spPr>
            <a:ln w="19050" cap="rnd">
              <a:solidFill>
                <a:srgbClr val="00827F"/>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CA70-49E8-93CF-0572344FC80B}"/>
            </c:ext>
          </c:extLst>
        </c:ser>
        <c:ser>
          <c:idx val="2"/>
          <c:order val="1"/>
          <c:tx>
            <c:strRef>
              <c:f>'Talnagögn | Numerical Data'!$E$286</c:f>
              <c:strCache>
                <c:ptCount val="1"/>
                <c:pt idx="0">
                  <c:v>Landbúnaður</c:v>
                </c:pt>
              </c:strCache>
            </c:strRef>
          </c:tx>
          <c:spPr>
            <a:ln w="19050" cap="rnd">
              <a:solidFill>
                <a:srgbClr val="99E5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CA70-49E8-93CF-0572344FC80B}"/>
            </c:ext>
          </c:extLst>
        </c:ser>
        <c:ser>
          <c:idx val="1"/>
          <c:order val="2"/>
          <c:tx>
            <c:strRef>
              <c:f>'Talnagögn | Numerical Data'!$E$285</c:f>
              <c:strCache>
                <c:ptCount val="1"/>
                <c:pt idx="0">
                  <c:v>Fiskiskip</c:v>
                </c:pt>
              </c:strCache>
            </c:strRef>
          </c:tx>
          <c:spPr>
            <a:ln w="19050" cap="rnd">
              <a:solidFill>
                <a:srgbClr val="5E9FE8"/>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CA70-49E8-93CF-0572344FC80B}"/>
            </c:ext>
          </c:extLst>
        </c:ser>
        <c:ser>
          <c:idx val="3"/>
          <c:order val="3"/>
          <c:tx>
            <c:strRef>
              <c:f>'Talnagögn | Numerical Data'!$E$287</c:f>
              <c:strCache>
                <c:ptCount val="1"/>
                <c:pt idx="0">
                  <c:v>Urðun úrgangs</c:v>
                </c:pt>
              </c:strCache>
            </c:strRef>
          </c:tx>
          <c:spPr>
            <a:ln w="19050" cap="rnd">
              <a:solidFill>
                <a:srgbClr val="FFBB8D"/>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CA70-49E8-93CF-0572344FC80B}"/>
            </c:ext>
          </c:extLst>
        </c:ser>
        <c:ser>
          <c:idx val="7"/>
          <c:order val="4"/>
          <c:tx>
            <c:strRef>
              <c:f>'Talnagögn | Numerical Data'!$E$294</c:f>
              <c:strCache>
                <c:ptCount val="1"/>
                <c:pt idx="0">
                  <c:v>Önnur losun</c:v>
                </c:pt>
              </c:strCache>
            </c:strRef>
          </c:tx>
          <c:spPr>
            <a:ln w="19050" cap="rnd">
              <a:solidFill>
                <a:schemeClr val="bg1">
                  <a:lumMod val="75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Data'!$X$296:$AX$296</c:f>
              <c:numCache>
                <c:formatCode>0</c:formatCode>
                <c:ptCount val="27"/>
                <c:pt idx="0">
                  <c:v>742.32031739776471</c:v>
                </c:pt>
                <c:pt idx="1">
                  <c:v>782.43192395487813</c:v>
                </c:pt>
                <c:pt idx="2">
                  <c:v>813.80861156698472</c:v>
                </c:pt>
                <c:pt idx="3">
                  <c:v>788.92393594987618</c:v>
                </c:pt>
                <c:pt idx="4">
                  <c:v>620.11408324291324</c:v>
                </c:pt>
                <c:pt idx="5">
                  <c:v>603.70679033720216</c:v>
                </c:pt>
                <c:pt idx="6">
                  <c:v>605.08046469310432</c:v>
                </c:pt>
                <c:pt idx="7">
                  <c:v>563.36047904659506</c:v>
                </c:pt>
                <c:pt idx="8">
                  <c:v>579.96038563080492</c:v>
                </c:pt>
                <c:pt idx="9">
                  <c:v>600.81933517347238</c:v>
                </c:pt>
                <c:pt idx="10">
                  <c:v>588.42227777400137</c:v>
                </c:pt>
                <c:pt idx="11">
                  <c:v>605.19695858465855</c:v>
                </c:pt>
                <c:pt idx="12">
                  <c:v>572.43810028461928</c:v>
                </c:pt>
                <c:pt idx="13">
                  <c:v>590.80460061430995</c:v>
                </c:pt>
                <c:pt idx="14">
                  <c:v>594.75511008330955</c:v>
                </c:pt>
                <c:pt idx="15">
                  <c:v>549.70929237794712</c:v>
                </c:pt>
                <c:pt idx="16">
                  <c:v>505.00966136793625</c:v>
                </c:pt>
                <c:pt idx="17">
                  <c:v>553.86267241575911</c:v>
                </c:pt>
                <c:pt idx="18">
                  <c:v>518.15260110887357</c:v>
                </c:pt>
                <c:pt idx="19">
                  <c:v>575.35208700933572</c:v>
                </c:pt>
                <c:pt idx="20">
                  <c:v>541.05224792588001</c:v>
                </c:pt>
              </c:numCache>
            </c:numRef>
          </c:val>
          <c:smooth val="0"/>
          <c:extLst>
            <c:ext xmlns:c16="http://schemas.microsoft.com/office/drawing/2014/chart" uri="{C3380CC4-5D6E-409C-BE32-E72D297353CC}">
              <c16:uniqueId val="{00000004-CA70-49E8-93CF-0572344FC80B}"/>
            </c:ext>
          </c:extLst>
        </c:ser>
        <c:ser>
          <c:idx val="4"/>
          <c:order val="5"/>
          <c:tx>
            <c:v>Vega WEM</c:v>
          </c:tx>
          <c:spPr>
            <a:ln w="19050" cap="rnd">
              <a:solidFill>
                <a:srgbClr val="00827F"/>
              </a:solidFill>
              <a:prstDash val="dash"/>
              <a:round/>
            </a:ln>
            <a:effectLst/>
          </c:spPr>
          <c:marker>
            <c:symbol val="none"/>
          </c:marker>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smooth val="0"/>
          <c:extLst>
            <c:ext xmlns:c16="http://schemas.microsoft.com/office/drawing/2014/chart" uri="{C3380CC4-5D6E-409C-BE32-E72D297353CC}">
              <c16:uniqueId val="{00000005-CA70-49E8-93CF-0572344FC80B}"/>
            </c:ext>
          </c:extLst>
        </c:ser>
        <c:ser>
          <c:idx val="5"/>
          <c:order val="6"/>
          <c:tx>
            <c:v>Vega WAM</c:v>
          </c:tx>
          <c:spPr>
            <a:ln w="28575" cap="rnd">
              <a:solidFill>
                <a:schemeClr val="accent6"/>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CA70-49E8-93CF-0572344FC80B}"/>
            </c:ext>
          </c:extLst>
        </c:ser>
        <c:ser>
          <c:idx val="6"/>
          <c:order val="7"/>
          <c:tx>
            <c:v>Land WEM</c:v>
          </c:tx>
          <c:spPr>
            <a:ln w="19050" cap="rnd">
              <a:solidFill>
                <a:srgbClr val="99E5DA"/>
              </a:solidFill>
              <a:prstDash val="dash"/>
              <a:round/>
            </a:ln>
            <a:effectLst/>
          </c:spPr>
          <c:marker>
            <c:symbol val="none"/>
          </c:marker>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smooth val="0"/>
          <c:extLst>
            <c:ext xmlns:c16="http://schemas.microsoft.com/office/drawing/2014/chart" uri="{C3380CC4-5D6E-409C-BE32-E72D297353CC}">
              <c16:uniqueId val="{00000007-CA70-49E8-93CF-0572344FC80B}"/>
            </c:ext>
          </c:extLst>
        </c:ser>
        <c:ser>
          <c:idx val="8"/>
          <c:order val="8"/>
          <c:tx>
            <c:v>Land WAM</c:v>
          </c:tx>
          <c:spPr>
            <a:ln w="28575" cap="rnd">
              <a:solidFill>
                <a:schemeClr val="accent3">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CA70-49E8-93CF-0572344FC80B}"/>
            </c:ext>
          </c:extLst>
        </c:ser>
        <c:ser>
          <c:idx val="9"/>
          <c:order val="9"/>
          <c:tx>
            <c:v>Fiski WEM</c:v>
          </c:tx>
          <c:spPr>
            <a:ln w="19050" cap="rnd">
              <a:solidFill>
                <a:srgbClr val="5E9FE8"/>
              </a:solidFill>
              <a:prstDash val="dash"/>
              <a:round/>
            </a:ln>
            <a:effectLst/>
          </c:spPr>
          <c:marker>
            <c:symbol val="none"/>
          </c:marker>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smooth val="0"/>
          <c:extLst>
            <c:ext xmlns:c16="http://schemas.microsoft.com/office/drawing/2014/chart" uri="{C3380CC4-5D6E-409C-BE32-E72D297353CC}">
              <c16:uniqueId val="{00000009-CA70-49E8-93CF-0572344FC80B}"/>
            </c:ext>
          </c:extLst>
        </c:ser>
        <c:ser>
          <c:idx val="10"/>
          <c:order val="10"/>
          <c:tx>
            <c:v>Fiski WAM</c:v>
          </c:tx>
          <c:spPr>
            <a:ln w="28575" cap="rnd">
              <a:solidFill>
                <a:schemeClr val="accent5">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CA70-49E8-93CF-0572344FC80B}"/>
            </c:ext>
          </c:extLst>
        </c:ser>
        <c:ser>
          <c:idx val="11"/>
          <c:order val="11"/>
          <c:tx>
            <c:v>Urðun WEM</c:v>
          </c:tx>
          <c:spPr>
            <a:ln w="19050" cap="rnd">
              <a:solidFill>
                <a:srgbClr val="FFBB8D"/>
              </a:solidFill>
              <a:prstDash val="dash"/>
              <a:round/>
            </a:ln>
            <a:effectLst/>
          </c:spPr>
          <c:marker>
            <c:symbol val="none"/>
          </c:marker>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smooth val="0"/>
          <c:extLst>
            <c:ext xmlns:c16="http://schemas.microsoft.com/office/drawing/2014/chart" uri="{C3380CC4-5D6E-409C-BE32-E72D297353CC}">
              <c16:uniqueId val="{0000000B-CA70-49E8-93CF-0572344FC80B}"/>
            </c:ext>
          </c:extLst>
        </c:ser>
        <c:ser>
          <c:idx val="12"/>
          <c:order val="12"/>
          <c:tx>
            <c:v>Urðun WAM</c:v>
          </c:tx>
          <c:spPr>
            <a:ln w="28575" cap="rnd">
              <a:solidFill>
                <a:schemeClr val="accent1">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C-CA70-49E8-93CF-0572344FC80B}"/>
            </c:ext>
          </c:extLst>
        </c:ser>
        <c:ser>
          <c:idx val="13"/>
          <c:order val="13"/>
          <c:tx>
            <c:v>Annað WEM</c:v>
          </c:tx>
          <c:spPr>
            <a:ln w="19050" cap="rnd">
              <a:solidFill>
                <a:schemeClr val="bg1">
                  <a:lumMod val="75000"/>
                </a:schemeClr>
              </a:solidFill>
              <a:prstDash val="dash"/>
              <a:round/>
            </a:ln>
            <a:effectLst/>
          </c:spPr>
          <c:marker>
            <c:symbol val="none"/>
          </c:marker>
          <c:val>
            <c:numRef>
              <c:f>'Talnagögn | Numerical Data'!$X$310:$BV$310</c:f>
              <c:numCache>
                <c:formatCode>0</c:formatCode>
                <c:ptCount val="51"/>
                <c:pt idx="18">
                  <c:v>518.15260110887357</c:v>
                </c:pt>
                <c:pt idx="20">
                  <c:v>541.05224792588001</c:v>
                </c:pt>
                <c:pt idx="21">
                  <c:v>509.85166031397011</c:v>
                </c:pt>
                <c:pt idx="22">
                  <c:v>522.54245825273813</c:v>
                </c:pt>
                <c:pt idx="23">
                  <c:v>478.95779642523297</c:v>
                </c:pt>
                <c:pt idx="24">
                  <c:v>459.94283667349004</c:v>
                </c:pt>
                <c:pt idx="25">
                  <c:v>448.87400420662539</c:v>
                </c:pt>
                <c:pt idx="26">
                  <c:v>425.41337663969642</c:v>
                </c:pt>
                <c:pt idx="27">
                  <c:v>423.55619661940403</c:v>
                </c:pt>
                <c:pt idx="28">
                  <c:v>436.42231343340455</c:v>
                </c:pt>
                <c:pt idx="29">
                  <c:v>425.33270333928112</c:v>
                </c:pt>
                <c:pt idx="30">
                  <c:v>414.603333556233</c:v>
                </c:pt>
                <c:pt idx="31">
                  <c:v>414.11951563205821</c:v>
                </c:pt>
                <c:pt idx="32">
                  <c:v>412.90419738715104</c:v>
                </c:pt>
                <c:pt idx="33">
                  <c:v>411.54498395850845</c:v>
                </c:pt>
                <c:pt idx="34">
                  <c:v>410.28024798472734</c:v>
                </c:pt>
                <c:pt idx="35">
                  <c:v>408.53989414410785</c:v>
                </c:pt>
                <c:pt idx="36">
                  <c:v>406.20870655206147</c:v>
                </c:pt>
                <c:pt idx="37">
                  <c:v>403.19441456397095</c:v>
                </c:pt>
                <c:pt idx="38">
                  <c:v>399.83570745345315</c:v>
                </c:pt>
                <c:pt idx="39">
                  <c:v>396.09477248454129</c:v>
                </c:pt>
                <c:pt idx="40">
                  <c:v>391.85759869284436</c:v>
                </c:pt>
                <c:pt idx="41">
                  <c:v>387.29774261501024</c:v>
                </c:pt>
                <c:pt idx="42">
                  <c:v>382.51255175431675</c:v>
                </c:pt>
                <c:pt idx="43">
                  <c:v>376.86991187312032</c:v>
                </c:pt>
                <c:pt idx="44">
                  <c:v>371.05052030896746</c:v>
                </c:pt>
                <c:pt idx="45">
                  <c:v>364.87560904373106</c:v>
                </c:pt>
                <c:pt idx="46">
                  <c:v>353.9007010058894</c:v>
                </c:pt>
                <c:pt idx="47">
                  <c:v>348.33718124190807</c:v>
                </c:pt>
                <c:pt idx="48">
                  <c:v>343.00781273895365</c:v>
                </c:pt>
                <c:pt idx="49">
                  <c:v>337.99197987955409</c:v>
                </c:pt>
                <c:pt idx="50">
                  <c:v>333.30318300858238</c:v>
                </c:pt>
              </c:numCache>
            </c:numRef>
          </c:val>
          <c:smooth val="0"/>
          <c:extLst>
            <c:ext xmlns:c16="http://schemas.microsoft.com/office/drawing/2014/chart" uri="{C3380CC4-5D6E-409C-BE32-E72D297353CC}">
              <c16:uniqueId val="{0000000D-CA70-49E8-93CF-0572344FC80B}"/>
            </c:ext>
          </c:extLst>
        </c:ser>
        <c:ser>
          <c:idx val="14"/>
          <c:order val="14"/>
          <c:tx>
            <c:v>Annað WAM</c:v>
          </c:tx>
          <c:spPr>
            <a:ln w="28575" cap="rnd">
              <a:solidFill>
                <a:schemeClr val="accent3">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E-CA70-49E8-93CF-0572344FC80B}"/>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03526513990705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ayout>
        <c:manualLayout>
          <c:xMode val="edge"/>
          <c:yMode val="edge"/>
          <c:x val="0.74916641429436692"/>
          <c:y val="0.29679814814814814"/>
          <c:w val="0.16914691822591063"/>
          <c:h val="0.4123567129629629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6.1107522806991339E-2"/>
          <c:w val="0.63054377799339656"/>
          <c:h val="0.8415896477633561"/>
        </c:manualLayout>
      </c:layout>
      <c:lineChart>
        <c:grouping val="standard"/>
        <c:varyColors val="0"/>
        <c:ser>
          <c:idx val="2"/>
          <c:order val="0"/>
          <c:tx>
            <c:strRef>
              <c:f>'Talnagögn | Numerical Data'!$E$324</c:f>
              <c:strCache>
                <c:ptCount val="1"/>
                <c:pt idx="0">
                  <c:v>Álframleiðsla</c:v>
                </c:pt>
              </c:strCache>
            </c:strRef>
          </c:tx>
          <c:spPr>
            <a:ln w="19050" cap="rnd">
              <a:solidFill>
                <a:schemeClr val="accent5">
                  <a:lumMod val="60000"/>
                  <a:lumOff val="4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3096-4106-BB70-D76532CFFE87}"/>
            </c:ext>
          </c:extLst>
        </c:ser>
        <c:ser>
          <c:idx val="1"/>
          <c:order val="1"/>
          <c:tx>
            <c:strRef>
              <c:f>'Talnagögn | Numerical Data'!$E$323</c:f>
              <c:strCache>
                <c:ptCount val="1"/>
                <c:pt idx="0">
                  <c:v>Kísil- og kísilmálmframleiðsla</c:v>
                </c:pt>
              </c:strCache>
            </c:strRef>
          </c:tx>
          <c:spPr>
            <a:ln w="19050" cap="rnd">
              <a:solidFill>
                <a:schemeClr val="accent6"/>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3096-4106-BB70-D76532CFFE87}"/>
            </c:ext>
          </c:extLst>
        </c:ser>
        <c:ser>
          <c:idx val="0"/>
          <c:order val="2"/>
          <c:tx>
            <c:strRef>
              <c:f>'Talnagögn | Numerical Data'!$E$322</c:f>
              <c:strCache>
                <c:ptCount val="1"/>
                <c:pt idx="0">
                  <c:v>Eldsneytisbruni, staðbundinn iðnaður</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3096-4106-BB70-D76532CFFE87}"/>
            </c:ext>
          </c:extLst>
        </c:ser>
        <c:ser>
          <c:idx val="3"/>
          <c:order val="3"/>
          <c:tx>
            <c:v>Ál WEM</c:v>
          </c:tx>
          <c:spPr>
            <a:ln w="19050" cap="rnd">
              <a:solidFill>
                <a:srgbClr val="9D8E90"/>
              </a:solidFill>
              <a:prstDash val="dash"/>
              <a:round/>
            </a:ln>
            <a:effectLst/>
          </c:spPr>
          <c:marker>
            <c:symbol val="none"/>
          </c:marker>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smooth val="0"/>
          <c:extLst>
            <c:ext xmlns:c16="http://schemas.microsoft.com/office/drawing/2014/chart" uri="{C3380CC4-5D6E-409C-BE32-E72D297353CC}">
              <c16:uniqueId val="{00000003-3096-4106-BB70-D76532CFFE87}"/>
            </c:ext>
          </c:extLst>
        </c:ser>
        <c:ser>
          <c:idx val="4"/>
          <c:order val="4"/>
          <c:tx>
            <c:v>Kísil WEM</c:v>
          </c:tx>
          <c:spPr>
            <a:ln w="19050" cap="rnd">
              <a:solidFill>
                <a:srgbClr val="FFBB8D"/>
              </a:solidFill>
              <a:prstDash val="dash"/>
              <a:round/>
            </a:ln>
            <a:effectLst/>
          </c:spPr>
          <c:marker>
            <c:symbol val="none"/>
          </c:marker>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smooth val="0"/>
          <c:extLst>
            <c:ext xmlns:c16="http://schemas.microsoft.com/office/drawing/2014/chart" uri="{C3380CC4-5D6E-409C-BE32-E72D297353CC}">
              <c16:uniqueId val="{00000004-3096-4106-BB70-D76532CFFE87}"/>
            </c:ext>
          </c:extLst>
        </c:ser>
        <c:ser>
          <c:idx val="5"/>
          <c:order val="5"/>
          <c:tx>
            <c:v>Eldsneytis stationary WEM</c:v>
          </c:tx>
          <c:spPr>
            <a:ln w="19050" cap="rnd">
              <a:solidFill>
                <a:schemeClr val="tx1"/>
              </a:solidFill>
              <a:prstDash val="dash"/>
              <a:round/>
            </a:ln>
            <a:effectLst/>
          </c:spPr>
          <c:marker>
            <c:symbol val="none"/>
          </c:marker>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smooth val="0"/>
          <c:extLst>
            <c:ext xmlns:c16="http://schemas.microsoft.com/office/drawing/2014/chart" uri="{C3380CC4-5D6E-409C-BE32-E72D297353CC}">
              <c16:uniqueId val="{00000005-3096-4106-BB70-D76532CFFE87}"/>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3493794562760436E-4"/>
              <c:y val="0.18738240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3"/>
        <c:delete val="1"/>
      </c:legendEntry>
      <c:legendEntry>
        <c:idx val="4"/>
        <c:delete val="1"/>
      </c:legendEntry>
      <c:legendEntry>
        <c:idx val="5"/>
        <c:delete val="1"/>
      </c:legendEntry>
      <c:layout>
        <c:manualLayout>
          <c:xMode val="edge"/>
          <c:yMode val="edge"/>
          <c:x val="0.72868530737897796"/>
          <c:y val="0.36865148445267809"/>
          <c:w val="0.27131469262102204"/>
          <c:h val="0.237029316258295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5.2217124187002348E-2"/>
          <c:w val="0.62952255531487511"/>
          <c:h val="0.85047983574489872"/>
        </c:manualLayout>
      </c:layout>
      <c:lineChart>
        <c:grouping val="standard"/>
        <c:varyColors val="0"/>
        <c:ser>
          <c:idx val="2"/>
          <c:order val="0"/>
          <c:tx>
            <c:strRef>
              <c:f>'Talnagögn | Numerical Data'!$E$324</c:f>
              <c:strCache>
                <c:ptCount val="1"/>
                <c:pt idx="0">
                  <c:v>Álframleiðsla</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6A17-49C4-80F6-BC8781A86784}"/>
            </c:ext>
          </c:extLst>
        </c:ser>
        <c:ser>
          <c:idx val="1"/>
          <c:order val="1"/>
          <c:tx>
            <c:strRef>
              <c:f>'Talnagögn | Numerical Data'!$E$323</c:f>
              <c:strCache>
                <c:ptCount val="1"/>
                <c:pt idx="0">
                  <c:v>Kísil- og kísilmálmframleiðsla</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6A17-49C4-80F6-BC8781A86784}"/>
            </c:ext>
          </c:extLst>
        </c:ser>
        <c:ser>
          <c:idx val="0"/>
          <c:order val="2"/>
          <c:tx>
            <c:strRef>
              <c:f>'Talnagögn | Numerical Data'!$E$322</c:f>
              <c:strCache>
                <c:ptCount val="1"/>
                <c:pt idx="0">
                  <c:v>Eldsneytisbruni, staðbundinn iðnaður</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6A17-49C4-80F6-BC8781A86784}"/>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1.021819459008579E-3"/>
              <c:y val="0.17641493508233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73106546475840206"/>
          <c:y val="0.34823005514605082"/>
          <c:w val="0.26723048896459656"/>
          <c:h val="0.3353744660227476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8591938147271683"/>
          <c:h val="0.79417416501448834"/>
        </c:manualLayout>
      </c:layout>
      <c:barChart>
        <c:barDir val="col"/>
        <c:grouping val="stacked"/>
        <c:varyColors val="0"/>
        <c:ser>
          <c:idx val="2"/>
          <c:order val="0"/>
          <c:tx>
            <c:strRef>
              <c:f>'Talnagögn | Numerical Data'!$G$324</c:f>
              <c:strCache>
                <c:ptCount val="1"/>
                <c:pt idx="0">
                  <c:v>Aluminium Production</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E95D-4F8E-B42F-44A50024FF3B}"/>
            </c:ext>
          </c:extLst>
        </c:ser>
        <c:ser>
          <c:idx val="1"/>
          <c:order val="1"/>
          <c:tx>
            <c:strRef>
              <c:f>'Talnagögn | Numerical Data'!$G$323</c:f>
              <c:strCache>
                <c:ptCount val="1"/>
                <c:pt idx="0">
                  <c:v>Ferrosilicon and Silicon Metal Production</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E95D-4F8E-B42F-44A50024FF3B}"/>
            </c:ext>
          </c:extLst>
        </c:ser>
        <c:ser>
          <c:idx val="0"/>
          <c:order val="2"/>
          <c:tx>
            <c:strRef>
              <c:f>'Talnagögn | Numerical Data'!$G$322</c:f>
              <c:strCache>
                <c:ptCount val="1"/>
                <c:pt idx="0">
                  <c:v>Fuel Combustion, Stationary Industry</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E95D-4F8E-B42F-44A50024FF3B}"/>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69319263285024157"/>
          <c:y val="0.36140763888888883"/>
          <c:w val="0.30548176328502413"/>
          <c:h val="0.257873611111111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7992376437230253"/>
          <c:h val="0.79417416501448834"/>
        </c:manualLayout>
      </c:layout>
      <c:lineChart>
        <c:grouping val="standard"/>
        <c:varyColors val="0"/>
        <c:ser>
          <c:idx val="2"/>
          <c:order val="0"/>
          <c:tx>
            <c:strRef>
              <c:f>'Talnagögn | Numerical Data'!$G$324</c:f>
              <c:strCache>
                <c:ptCount val="1"/>
                <c:pt idx="0">
                  <c:v>Aluminium Production</c:v>
                </c:pt>
              </c:strCache>
            </c:strRef>
          </c:tx>
          <c:spPr>
            <a:ln w="19050" cap="rnd">
              <a:solidFill>
                <a:schemeClr val="accent5">
                  <a:lumMod val="60000"/>
                  <a:lumOff val="4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056F-48E4-9C24-75B2CCF818DD}"/>
            </c:ext>
          </c:extLst>
        </c:ser>
        <c:ser>
          <c:idx val="1"/>
          <c:order val="1"/>
          <c:tx>
            <c:strRef>
              <c:f>'Talnagögn | Numerical Data'!$G$323</c:f>
              <c:strCache>
                <c:ptCount val="1"/>
                <c:pt idx="0">
                  <c:v>Ferrosilicon and Silicon Metal Production</c:v>
                </c:pt>
              </c:strCache>
            </c:strRef>
          </c:tx>
          <c:spPr>
            <a:ln w="19050" cap="rnd">
              <a:solidFill>
                <a:schemeClr val="accent6"/>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056F-48E4-9C24-75B2CCF818DD}"/>
            </c:ext>
          </c:extLst>
        </c:ser>
        <c:ser>
          <c:idx val="0"/>
          <c:order val="2"/>
          <c:tx>
            <c:strRef>
              <c:f>'Talnagögn | Numerical Data'!$G$322</c:f>
              <c:strCache>
                <c:ptCount val="1"/>
                <c:pt idx="0">
                  <c:v>Fuel Combustion, Stationary Industry</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056F-48E4-9C24-75B2CCF818DD}"/>
            </c:ext>
          </c:extLst>
        </c:ser>
        <c:ser>
          <c:idx val="3"/>
          <c:order val="3"/>
          <c:tx>
            <c:v>Ál WEM</c:v>
          </c:tx>
          <c:spPr>
            <a:ln w="19050" cap="rnd">
              <a:solidFill>
                <a:srgbClr val="9D8E90"/>
              </a:solidFill>
              <a:prstDash val="dash"/>
              <a:round/>
            </a:ln>
            <a:effectLst/>
          </c:spPr>
          <c:marker>
            <c:symbol val="none"/>
          </c:marker>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smooth val="0"/>
          <c:extLst>
            <c:ext xmlns:c16="http://schemas.microsoft.com/office/drawing/2014/chart" uri="{C3380CC4-5D6E-409C-BE32-E72D297353CC}">
              <c16:uniqueId val="{00000003-056F-48E4-9C24-75B2CCF818DD}"/>
            </c:ext>
          </c:extLst>
        </c:ser>
        <c:ser>
          <c:idx val="4"/>
          <c:order val="4"/>
          <c:tx>
            <c:v>Kísil WEM</c:v>
          </c:tx>
          <c:spPr>
            <a:ln w="19050" cap="rnd">
              <a:solidFill>
                <a:srgbClr val="FFBB8D"/>
              </a:solidFill>
              <a:prstDash val="dash"/>
              <a:round/>
            </a:ln>
            <a:effectLst/>
          </c:spPr>
          <c:marker>
            <c:symbol val="none"/>
          </c:marker>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smooth val="0"/>
          <c:extLst>
            <c:ext xmlns:c16="http://schemas.microsoft.com/office/drawing/2014/chart" uri="{C3380CC4-5D6E-409C-BE32-E72D297353CC}">
              <c16:uniqueId val="{00000004-056F-48E4-9C24-75B2CCF818DD}"/>
            </c:ext>
          </c:extLst>
        </c:ser>
        <c:ser>
          <c:idx val="5"/>
          <c:order val="5"/>
          <c:tx>
            <c:v>Eldsneytis stationary WEM</c:v>
          </c:tx>
          <c:spPr>
            <a:ln w="19050" cap="rnd">
              <a:solidFill>
                <a:schemeClr val="tx1"/>
              </a:solidFill>
              <a:prstDash val="dash"/>
              <a:round/>
            </a:ln>
            <a:effectLst/>
          </c:spPr>
          <c:marker>
            <c:symbol val="none"/>
          </c:marker>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smooth val="0"/>
          <c:extLst>
            <c:ext xmlns:c16="http://schemas.microsoft.com/office/drawing/2014/chart" uri="{C3380CC4-5D6E-409C-BE32-E72D297353CC}">
              <c16:uniqueId val="{00000005-056F-48E4-9C24-75B2CCF818DD}"/>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3"/>
        <c:delete val="1"/>
      </c:legendEntry>
      <c:legendEntry>
        <c:idx val="4"/>
        <c:delete val="1"/>
      </c:legendEntry>
      <c:legendEntry>
        <c:idx val="5"/>
        <c:delete val="1"/>
      </c:legendEntry>
      <c:layout>
        <c:manualLayout>
          <c:xMode val="edge"/>
          <c:yMode val="edge"/>
          <c:x val="0.6829574592885842"/>
          <c:y val="0.38530675609514003"/>
          <c:w val="0.31704251207729467"/>
          <c:h val="0.23652745698745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7992376437230253"/>
          <c:h val="0.79417416501448834"/>
        </c:manualLayout>
      </c:layout>
      <c:lineChart>
        <c:grouping val="standard"/>
        <c:varyColors val="0"/>
        <c:ser>
          <c:idx val="2"/>
          <c:order val="0"/>
          <c:tx>
            <c:strRef>
              <c:f>'Talnagögn | Numerical Data'!$G$324</c:f>
              <c:strCache>
                <c:ptCount val="1"/>
                <c:pt idx="0">
                  <c:v>Aluminium Production</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3FAE-42AA-8C0F-840936DD98F6}"/>
            </c:ext>
          </c:extLst>
        </c:ser>
        <c:ser>
          <c:idx val="1"/>
          <c:order val="1"/>
          <c:tx>
            <c:strRef>
              <c:f>'Talnagögn | Numerical Data'!$G$323</c:f>
              <c:strCache>
                <c:ptCount val="1"/>
                <c:pt idx="0">
                  <c:v>Ferrosilicon and Silicon Metal Production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3FAE-42AA-8C0F-840936DD98F6}"/>
            </c:ext>
          </c:extLst>
        </c:ser>
        <c:ser>
          <c:idx val="0"/>
          <c:order val="2"/>
          <c:tx>
            <c:strRef>
              <c:f>'Talnagögn | Numerical Data'!$G$322</c:f>
              <c:strCache>
                <c:ptCount val="1"/>
                <c:pt idx="0">
                  <c:v>Fuel Combustion, Stationary Industry</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3FAE-42AA-8C0F-840936DD98F6}"/>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6829574592885842"/>
          <c:y val="0.38530675609514003"/>
          <c:w val="0.31704251207729467"/>
          <c:h val="0.23652745698745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Data'!$G$210</c:f>
              <c:strCache>
                <c:ptCount val="1"/>
                <c:pt idx="0">
                  <c:v>Forest Land</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708F-475C-AE32-16F272BF2D9F}"/>
            </c:ext>
          </c:extLst>
        </c:ser>
        <c:ser>
          <c:idx val="2"/>
          <c:order val="1"/>
          <c:tx>
            <c:strRef>
              <c:f>'Talnagögn | Numerical Data'!$G$212</c:f>
              <c:strCache>
                <c:ptCount val="1"/>
                <c:pt idx="0">
                  <c:v>Grassland</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708F-475C-AE32-16F272BF2D9F}"/>
            </c:ext>
          </c:extLst>
        </c:ser>
        <c:ser>
          <c:idx val="1"/>
          <c:order val="2"/>
          <c:tx>
            <c:strRef>
              <c:f>'Talnagögn | Numerical Data'!$G$211</c:f>
              <c:strCache>
                <c:ptCount val="1"/>
                <c:pt idx="0">
                  <c:v>Cropland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708F-475C-AE32-16F272BF2D9F}"/>
            </c:ext>
          </c:extLst>
        </c:ser>
        <c:ser>
          <c:idx val="3"/>
          <c:order val="3"/>
          <c:tx>
            <c:strRef>
              <c:f>'Talnagögn | Numerical Data'!$G$213</c:f>
              <c:strCache>
                <c:ptCount val="1"/>
                <c:pt idx="0">
                  <c:v>Wetlands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708F-475C-AE32-16F272BF2D9F}"/>
            </c:ext>
          </c:extLst>
        </c:ser>
        <c:ser>
          <c:idx val="5"/>
          <c:order val="4"/>
          <c:tx>
            <c:strRef>
              <c:f>'Talnagögn | Numerical Data'!$G$214</c:f>
              <c:strCache>
                <c:ptCount val="1"/>
                <c:pt idx="0">
                  <c:v>Other Emissions</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708F-475C-AE32-16F272BF2D9F}"/>
            </c:ext>
          </c:extLst>
        </c:ser>
        <c:ser>
          <c:idx val="4"/>
          <c:order val="5"/>
          <c:tx>
            <c:v>Forestry WEM</c:v>
          </c:tx>
          <c:spPr>
            <a:ln w="19050" cap="rnd">
              <a:solidFill>
                <a:schemeClr val="bg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smooth val="0"/>
          <c:extLst>
            <c:ext xmlns:c16="http://schemas.microsoft.com/office/drawing/2014/chart" uri="{C3380CC4-5D6E-409C-BE32-E72D297353CC}">
              <c16:uniqueId val="{00000005-708F-475C-AE32-16F272BF2D9F}"/>
            </c:ext>
          </c:extLst>
        </c:ser>
        <c:ser>
          <c:idx val="7"/>
          <c:order val="6"/>
          <c:tx>
            <c:v>Mólendi WEM</c:v>
          </c:tx>
          <c:spPr>
            <a:ln w="19050" cap="rnd">
              <a:solidFill>
                <a:schemeClr val="tx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smooth val="0"/>
          <c:extLst>
            <c:ext xmlns:c16="http://schemas.microsoft.com/office/drawing/2014/chart" uri="{C3380CC4-5D6E-409C-BE32-E72D297353CC}">
              <c16:uniqueId val="{00000006-708F-475C-AE32-16F272BF2D9F}"/>
            </c:ext>
          </c:extLst>
        </c:ser>
        <c:ser>
          <c:idx val="6"/>
          <c:order val="7"/>
          <c:tx>
            <c:v>Ræktað land WEM</c:v>
          </c:tx>
          <c:spPr>
            <a:ln w="19050" cap="rnd">
              <a:solidFill>
                <a:schemeClr val="accent6"/>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smooth val="0"/>
          <c:extLst>
            <c:ext xmlns:c16="http://schemas.microsoft.com/office/drawing/2014/chart" uri="{C3380CC4-5D6E-409C-BE32-E72D297353CC}">
              <c16:uniqueId val="{00000007-708F-475C-AE32-16F272BF2D9F}"/>
            </c:ext>
          </c:extLst>
        </c:ser>
        <c:ser>
          <c:idx val="8"/>
          <c:order val="8"/>
          <c:tx>
            <c:v>Votlendi WEM</c:v>
          </c:tx>
          <c:spPr>
            <a:ln w="19050" cap="rnd">
              <a:solidFill>
                <a:srgbClr val="338DE9"/>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smooth val="0"/>
          <c:extLst>
            <c:ext xmlns:c16="http://schemas.microsoft.com/office/drawing/2014/chart" uri="{C3380CC4-5D6E-409C-BE32-E72D297353CC}">
              <c16:uniqueId val="{00000008-708F-475C-AE32-16F272BF2D9F}"/>
            </c:ext>
          </c:extLst>
        </c:ser>
        <c:ser>
          <c:idx val="9"/>
          <c:order val="9"/>
          <c:tx>
            <c:v>Annað WEM</c:v>
          </c:tx>
          <c:spPr>
            <a:ln w="19050" cap="rnd">
              <a:solidFill>
                <a:schemeClr val="tx1"/>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smooth val="0"/>
          <c:extLst>
            <c:ext xmlns:c16="http://schemas.microsoft.com/office/drawing/2014/chart" uri="{C3380CC4-5D6E-409C-BE32-E72D297353CC}">
              <c16:uniqueId val="{00000009-708F-475C-AE32-16F272BF2D9F}"/>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184211846130699"/>
          <c:h val="0.77287962962962964"/>
        </c:manualLayout>
      </c:layout>
      <c:barChart>
        <c:barDir val="col"/>
        <c:grouping val="stacked"/>
        <c:varyColors val="0"/>
        <c:ser>
          <c:idx val="0"/>
          <c:order val="0"/>
          <c:tx>
            <c:strRef>
              <c:f>'Talnagögn | Numerical Data'!$G$210</c:f>
              <c:strCache>
                <c:ptCount val="1"/>
                <c:pt idx="0">
                  <c:v>Forest Land</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Data'!$I$210:$AX$210</c15:sqref>
                  </c15:fullRef>
                </c:ext>
              </c:extLst>
              <c:f>'Talnagögn | Numerical Data'!$X$210:$AR$210</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85D1-4F01-B2BC-86AA889CD779}"/>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Data'!$I$212:$AX$212</c15:sqref>
                  </c15:fullRef>
                </c:ext>
              </c:extLst>
              <c:f>'Talnagögn | Numerical Data'!$X$212:$AR$212</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85D1-4F01-B2BC-86AA889CD779}"/>
            </c:ext>
          </c:extLst>
        </c:ser>
        <c:ser>
          <c:idx val="1"/>
          <c:order val="2"/>
          <c:tx>
            <c:strRef>
              <c:f>'Talnagögn | Numerical Data'!$G$211</c:f>
              <c:strCache>
                <c:ptCount val="1"/>
                <c:pt idx="0">
                  <c:v>Cropland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Data'!$I$211:$AX$211</c15:sqref>
                  </c15:fullRef>
                </c:ext>
              </c:extLst>
              <c:f>'Talnagögn | Numerical Data'!$X$211:$AR$211</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85D1-4F01-B2BC-86AA889CD779}"/>
            </c:ext>
          </c:extLst>
        </c:ser>
        <c:ser>
          <c:idx val="3"/>
          <c:order val="3"/>
          <c:tx>
            <c:strRef>
              <c:f>'Talnagögn | Numerical Data'!$G$213</c:f>
              <c:strCache>
                <c:ptCount val="1"/>
                <c:pt idx="0">
                  <c:v>Wetlands</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Data'!$I$213:$AX$213</c15:sqref>
                  </c15:fullRef>
                </c:ext>
              </c:extLst>
              <c:f>'Talnagögn | Numerical Data'!$X$213:$AR$213</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85D1-4F01-B2BC-86AA889CD779}"/>
            </c:ext>
          </c:extLst>
        </c:ser>
        <c:ser>
          <c:idx val="5"/>
          <c:order val="4"/>
          <c:tx>
            <c:strRef>
              <c:f>'Talnagögn | Numerical Data'!$G$214</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Data'!$I$214:$AX$214</c15:sqref>
                  </c15:fullRef>
                </c:ext>
              </c:extLst>
              <c:f>'Talnagögn | Numerical Data'!$X$214:$AR$214</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85D1-4F01-B2BC-86AA889CD779}"/>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1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9.6432894074769088E-4"/>
              <c:y val="0.259101620370370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58089673504191"/>
          <c:y val="0.30621527777777785"/>
          <c:w val="0.1413617784241937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Data'!$G$210</c:f>
              <c:strCache>
                <c:ptCount val="1"/>
                <c:pt idx="0">
                  <c:v>Forest Land</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Data'!$I$210:$AX$210</c15:sqref>
                  </c15:fullRef>
                </c:ext>
              </c:extLst>
              <c:f>'Talnagögn | Numerical Data'!$X$210:$AR$210</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43CA-4069-904E-83B4BF06829E}"/>
            </c:ext>
          </c:extLst>
        </c:ser>
        <c:ser>
          <c:idx val="2"/>
          <c:order val="1"/>
          <c:tx>
            <c:strRef>
              <c:f>'Talnagögn | Numerical Data'!$G$212</c:f>
              <c:strCache>
                <c:ptCount val="1"/>
                <c:pt idx="0">
                  <c:v>Grassland</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Data'!$I$212:$AX$212</c15:sqref>
                  </c15:fullRef>
                </c:ext>
              </c:extLst>
              <c:f>'Talnagögn | Numerical Data'!$X$212:$AR$212</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43CA-4069-904E-83B4BF06829E}"/>
            </c:ext>
          </c:extLst>
        </c:ser>
        <c:ser>
          <c:idx val="1"/>
          <c:order val="2"/>
          <c:tx>
            <c:strRef>
              <c:f>'Talnagögn | Numerical Data'!$G$211</c:f>
              <c:strCache>
                <c:ptCount val="1"/>
                <c:pt idx="0">
                  <c:v>Cropland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Data'!$I$211:$AX$211</c15:sqref>
                  </c15:fullRef>
                </c:ext>
              </c:extLst>
              <c:f>'Talnagögn | Numerical Data'!$X$211:$AR$211</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43CA-4069-904E-83B4BF06829E}"/>
            </c:ext>
          </c:extLst>
        </c:ser>
        <c:ser>
          <c:idx val="3"/>
          <c:order val="3"/>
          <c:tx>
            <c:strRef>
              <c:f>'Talnagögn | Numerical Data'!$G$213</c:f>
              <c:strCache>
                <c:ptCount val="1"/>
                <c:pt idx="0">
                  <c:v>Wetlands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Data'!$I$213:$AX$213</c15:sqref>
                  </c15:fullRef>
                </c:ext>
              </c:extLst>
              <c:f>'Talnagögn | Numerical Data'!$X$213:$AR$213</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43CA-4069-904E-83B4BF06829E}"/>
            </c:ext>
          </c:extLst>
        </c:ser>
        <c:ser>
          <c:idx val="5"/>
          <c:order val="4"/>
          <c:tx>
            <c:strRef>
              <c:f>'Talnagögn | Numerical Data'!$G$214</c:f>
              <c:strCache>
                <c:ptCount val="1"/>
                <c:pt idx="0">
                  <c:v>Other Emissions</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Data'!$I$214:$AX$214</c15:sqref>
                  </c15:fullRef>
                </c:ext>
              </c:extLst>
              <c:f>'Talnagögn | Numerical Data'!$X$214:$AR$214</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43CA-4069-904E-83B4BF06829E}"/>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998792270531398E-2"/>
          <c:y val="3.2337962962962964E-2"/>
          <c:w val="0.61998212560386479"/>
          <c:h val="0.88088796296296301"/>
        </c:manualLayout>
      </c:layout>
      <c:lineChart>
        <c:grouping val="standard"/>
        <c:varyColors val="0"/>
        <c:ser>
          <c:idx val="14"/>
          <c:order val="0"/>
          <c:tx>
            <c:strRef>
              <c:f>'Talnagögn | Numerical Data'!$G$121</c:f>
              <c:strCache>
                <c:ptCount val="1"/>
                <c:pt idx="0">
                  <c:v>Cultivation of Organic Soils (N₂O)</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Data'!$I$121:$AX$121</c:f>
              <c:numCache>
                <c:formatCode>0</c:formatCode>
                <c:ptCount val="42"/>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27AB-4962-A6B3-C6684ED60405}"/>
            </c:ext>
          </c:extLst>
        </c:ser>
        <c:ser>
          <c:idx val="2"/>
          <c:order val="1"/>
          <c:tx>
            <c:strRef>
              <c:f>'Talnagögn | Numerical Data'!$G$133</c:f>
              <c:strCache>
                <c:ptCount val="1"/>
                <c:pt idx="0">
                  <c:v>Cattle</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Data'!$I$133:$AX$133</c:f>
              <c:numCache>
                <c:formatCode>0</c:formatCode>
                <c:ptCount val="42"/>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27AB-4962-A6B3-C6684ED60405}"/>
            </c:ext>
          </c:extLst>
        </c:ser>
        <c:ser>
          <c:idx val="6"/>
          <c:order val="2"/>
          <c:tx>
            <c:strRef>
              <c:f>'Talnagögn | Numerical Data'!$G$138</c:f>
              <c:strCache>
                <c:ptCount val="1"/>
                <c:pt idx="0">
                  <c:v>Sheep</c:v>
                </c:pt>
              </c:strCache>
            </c:strRef>
          </c:tx>
          <c:spPr>
            <a:ln w="19050" cap="rnd">
              <a:solidFill>
                <a:schemeClr val="accent1"/>
              </a:solidFill>
              <a:round/>
            </a:ln>
            <a:effectLst/>
          </c:spPr>
          <c:marker>
            <c:symbol val="none"/>
          </c:marker>
          <c:dPt>
            <c:idx val="0"/>
            <c:marker>
              <c:symbol val="none"/>
            </c:marker>
            <c:bubble3D val="0"/>
            <c:spPr>
              <a:ln w="19050" cap="rnd">
                <a:solidFill>
                  <a:schemeClr val="accent1"/>
                </a:solidFill>
                <a:round/>
              </a:ln>
              <a:effectLst/>
            </c:spPr>
            <c:extLst>
              <c:ext xmlns:c16="http://schemas.microsoft.com/office/drawing/2014/chart" uri="{C3380CC4-5D6E-409C-BE32-E72D297353CC}">
                <c16:uniqueId val="{00000003-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Data'!$I$138:$AX$138</c:f>
              <c:numCache>
                <c:formatCode>0</c:formatCode>
                <c:ptCount val="42"/>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4-27AB-4962-A6B3-C6684ED60405}"/>
            </c:ext>
          </c:extLst>
        </c:ser>
        <c:ser>
          <c:idx val="0"/>
          <c:order val="3"/>
          <c:tx>
            <c:strRef>
              <c:f>'Talnagögn | Numerical Data'!$G$122</c:f>
              <c:strCache>
                <c:ptCount val="1"/>
                <c:pt idx="0">
                  <c:v>Inorganic Fertilizer Use and Liming</c:v>
                </c:pt>
              </c:strCache>
            </c:strRef>
          </c:tx>
          <c:spPr>
            <a:ln w="19050" cap="rnd">
              <a:solidFill>
                <a:srgbClr val="FFBCB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Data'!$I$122:$AX$122</c:f>
              <c:numCache>
                <c:formatCode>0</c:formatCode>
                <c:ptCount val="42"/>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5-27AB-4962-A6B3-C6684ED60405}"/>
            </c:ext>
          </c:extLst>
        </c:ser>
        <c:ser>
          <c:idx val="11"/>
          <c:order val="4"/>
          <c:tx>
            <c:strRef>
              <c:f>'Talnagögn | Numerical Data'!$G$128</c:f>
              <c:strCache>
                <c:ptCount val="1"/>
                <c:pt idx="0">
                  <c:v>Organic Fertilizer Use</c:v>
                </c:pt>
              </c:strCache>
            </c:strRef>
          </c:tx>
          <c:spPr>
            <a:ln w="19050" cap="rnd">
              <a:solidFill>
                <a:srgbClr val="F7E609"/>
              </a:solidFill>
              <a:round/>
            </a:ln>
            <a:effectLst/>
          </c:spPr>
          <c:marker>
            <c:symbol val="none"/>
          </c:marker>
          <c:val>
            <c:numRef>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6-27AB-4962-A6B3-C6684ED60405}"/>
            </c:ext>
          </c:extLst>
        </c:ser>
        <c:ser>
          <c:idx val="10"/>
          <c:order val="5"/>
          <c:tx>
            <c:strRef>
              <c:f>'Talnagögn | Numerical Data'!$G$143</c:f>
              <c:strCache>
                <c:ptCount val="1"/>
                <c:pt idx="0">
                  <c:v>Horses</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Data'!$I$143:$AX$143</c:f>
              <c:numCache>
                <c:formatCode>0</c:formatCode>
                <c:ptCount val="42"/>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7-27AB-4962-A6B3-C6684ED60405}"/>
            </c:ext>
          </c:extLst>
        </c:ser>
        <c:ser>
          <c:idx val="1"/>
          <c:order val="6"/>
          <c:tx>
            <c:strRef>
              <c:f>'Talnagögn | Numerical Data'!$G$148</c:f>
              <c:strCache>
                <c:ptCount val="1"/>
                <c:pt idx="0">
                  <c:v>Other Emissions</c:v>
                </c:pt>
              </c:strCache>
            </c:strRef>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Data'!$I$148:$AX$148</c:f>
              <c:numCache>
                <c:formatCode>0</c:formatCode>
                <c:ptCount val="42"/>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8-27AB-4962-A6B3-C6684ED60405}"/>
            </c:ext>
          </c:extLst>
        </c:ser>
        <c:ser>
          <c:idx val="7"/>
          <c:order val="7"/>
          <c:tx>
            <c:v>Framræst N2O</c:v>
          </c:tx>
          <c:spPr>
            <a:ln w="19050" cap="rnd">
              <a:solidFill>
                <a:schemeClr val="bg2"/>
              </a:solidFill>
              <a:prstDash val="dash"/>
              <a:round/>
            </a:ln>
            <a:effectLst/>
          </c:spPr>
          <c:marker>
            <c:symbol val="none"/>
          </c:marker>
          <c:dPt>
            <c:idx val="33"/>
            <c:marker>
              <c:symbol val="none"/>
            </c:marker>
            <c:bubble3D val="0"/>
            <c:spPr>
              <a:ln w="19050" cap="rnd">
                <a:solidFill>
                  <a:schemeClr val="bg2"/>
                </a:solidFill>
                <a:prstDash val="dash"/>
                <a:round/>
              </a:ln>
              <a:effectLst/>
            </c:spPr>
            <c:extLst>
              <c:ext xmlns:c16="http://schemas.microsoft.com/office/drawing/2014/chart" uri="{C3380CC4-5D6E-409C-BE32-E72D297353CC}">
                <c16:uniqueId val="{0000000A-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Data'!$I$152:$BV$152</c:f>
              <c:numCache>
                <c:formatCode>0</c:formatCode>
                <c:ptCount val="66"/>
                <c:pt idx="35">
                  <c:v>192.53067664599612</c:v>
                </c:pt>
                <c:pt idx="36">
                  <c:v>192.41479638044962</c:v>
                </c:pt>
                <c:pt idx="37">
                  <c:v>192.32534744293721</c:v>
                </c:pt>
                <c:pt idx="38">
                  <c:v>192.10376609693722</c:v>
                </c:pt>
                <c:pt idx="39">
                  <c:v>191.10856366787112</c:v>
                </c:pt>
                <c:pt idx="40">
                  <c:v>190.11599333275308</c:v>
                </c:pt>
                <c:pt idx="41">
                  <c:v>190.38535958463839</c:v>
                </c:pt>
                <c:pt idx="42">
                  <c:v>190.65740726135996</c:v>
                </c:pt>
                <c:pt idx="43">
                  <c:v>190.93216155202381</c:v>
                </c:pt>
                <c:pt idx="44">
                  <c:v>191.20964800365795</c:v>
                </c:pt>
                <c:pt idx="45">
                  <c:v>191.51155717753724</c:v>
                </c:pt>
                <c:pt idx="46">
                  <c:v>191.79449745525517</c:v>
                </c:pt>
                <c:pt idx="47">
                  <c:v>192.08024839153751</c:v>
                </c:pt>
                <c:pt idx="48">
                  <c:v>192.36883703120574</c:v>
                </c:pt>
                <c:pt idx="49">
                  <c:v>192.66029081266268</c:v>
                </c:pt>
                <c:pt idx="50">
                  <c:v>192.95463757556104</c:v>
                </c:pt>
                <c:pt idx="51">
                  <c:v>193.25190556865888</c:v>
                </c:pt>
                <c:pt idx="52">
                  <c:v>192.95080195843576</c:v>
                </c:pt>
                <c:pt idx="53">
                  <c:v>193.10014585271355</c:v>
                </c:pt>
                <c:pt idx="54">
                  <c:v>193.19016070371802</c:v>
                </c:pt>
                <c:pt idx="55">
                  <c:v>192.8144685902885</c:v>
                </c:pt>
                <c:pt idx="56">
                  <c:v>192.43539945415372</c:v>
                </c:pt>
                <c:pt idx="57">
                  <c:v>192.05633286406558</c:v>
                </c:pt>
                <c:pt idx="58">
                  <c:v>191.67726881455377</c:v>
                </c:pt>
                <c:pt idx="59">
                  <c:v>191.29820730016561</c:v>
                </c:pt>
                <c:pt idx="60">
                  <c:v>190.91914831546578</c:v>
                </c:pt>
                <c:pt idx="61">
                  <c:v>190.54009185503671</c:v>
                </c:pt>
                <c:pt idx="62">
                  <c:v>190.16103791347786</c:v>
                </c:pt>
                <c:pt idx="63">
                  <c:v>189.78198648540607</c:v>
                </c:pt>
                <c:pt idx="64">
                  <c:v>189.40293756545546</c:v>
                </c:pt>
                <c:pt idx="65">
                  <c:v>189.02389737271938</c:v>
                </c:pt>
              </c:numCache>
            </c:numRef>
          </c:val>
          <c:smooth val="0"/>
          <c:extLst>
            <c:ext xmlns:c16="http://schemas.microsoft.com/office/drawing/2014/chart" uri="{C3380CC4-5D6E-409C-BE32-E72D297353CC}">
              <c16:uniqueId val="{0000000B-27AB-4962-A6B3-C6684ED60405}"/>
            </c:ext>
          </c:extLst>
        </c:ser>
        <c:ser>
          <c:idx val="3"/>
          <c:order val="8"/>
          <c:tx>
            <c:v>Naut WEM</c:v>
          </c:tx>
          <c:spPr>
            <a:ln w="19050" cap="rnd">
              <a:solidFill>
                <a:srgbClr val="99E5DA"/>
              </a:solidFill>
              <a:prstDash val="dash"/>
              <a:round/>
            </a:ln>
            <a:effectLst/>
          </c:spPr>
          <c:marker>
            <c:symbol val="none"/>
          </c:marker>
          <c:dPt>
            <c:idx val="33"/>
            <c:marker>
              <c:symbol val="none"/>
            </c:marker>
            <c:bubble3D val="0"/>
            <c:spPr>
              <a:ln w="19050" cap="rnd">
                <a:solidFill>
                  <a:srgbClr val="99E5DA"/>
                </a:solidFill>
                <a:prstDash val="dash"/>
                <a:round/>
              </a:ln>
              <a:effectLst/>
            </c:spPr>
            <c:extLst>
              <c:ext xmlns:c16="http://schemas.microsoft.com/office/drawing/2014/chart" uri="{C3380CC4-5D6E-409C-BE32-E72D297353CC}">
                <c16:uniqueId val="{0000000D-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Data'!$I$164:$BV$164</c:f>
              <c:numCache>
                <c:formatCode>0</c:formatCode>
                <c:ptCount val="66"/>
                <c:pt idx="35">
                  <c:v>183.73286362498627</c:v>
                </c:pt>
                <c:pt idx="36">
                  <c:v>183.23472798932056</c:v>
                </c:pt>
                <c:pt idx="37">
                  <c:v>182.54345717157048</c:v>
                </c:pt>
                <c:pt idx="38">
                  <c:v>182.18584217402037</c:v>
                </c:pt>
                <c:pt idx="39">
                  <c:v>182.4038770344458</c:v>
                </c:pt>
                <c:pt idx="40">
                  <c:v>183.10455925827571</c:v>
                </c:pt>
                <c:pt idx="41">
                  <c:v>181.9105625632784</c:v>
                </c:pt>
                <c:pt idx="42">
                  <c:v>181.75447289261493</c:v>
                </c:pt>
                <c:pt idx="43">
                  <c:v>180.93215033171319</c:v>
                </c:pt>
                <c:pt idx="44">
                  <c:v>180.28379367705131</c:v>
                </c:pt>
                <c:pt idx="45">
                  <c:v>178.98036171764369</c:v>
                </c:pt>
                <c:pt idx="46">
                  <c:v>177.685128645904</c:v>
                </c:pt>
                <c:pt idx="47">
                  <c:v>176.63576868194696</c:v>
                </c:pt>
                <c:pt idx="48">
                  <c:v>175.46491614354019</c:v>
                </c:pt>
                <c:pt idx="49">
                  <c:v>174.42726431049724</c:v>
                </c:pt>
                <c:pt idx="50">
                  <c:v>173.89544940711602</c:v>
                </c:pt>
                <c:pt idx="51">
                  <c:v>173.09315571578355</c:v>
                </c:pt>
                <c:pt idx="52">
                  <c:v>172.59646762716739</c:v>
                </c:pt>
                <c:pt idx="53">
                  <c:v>172.62761117389419</c:v>
                </c:pt>
                <c:pt idx="54">
                  <c:v>173.09989974683208</c:v>
                </c:pt>
                <c:pt idx="55">
                  <c:v>171.83253166086195</c:v>
                </c:pt>
                <c:pt idx="56">
                  <c:v>171.51663469235282</c:v>
                </c:pt>
                <c:pt idx="57">
                  <c:v>170.58893461541953</c:v>
                </c:pt>
                <c:pt idx="58">
                  <c:v>169.81989718102727</c:v>
                </c:pt>
                <c:pt idx="59">
                  <c:v>168.45063544635457</c:v>
                </c:pt>
                <c:pt idx="60">
                  <c:v>167.08911784735579</c:v>
                </c:pt>
                <c:pt idx="61">
                  <c:v>165.95206256921099</c:v>
                </c:pt>
                <c:pt idx="62">
                  <c:v>164.70368529439509</c:v>
                </c:pt>
                <c:pt idx="63">
                  <c:v>163.57654938613359</c:v>
                </c:pt>
                <c:pt idx="64">
                  <c:v>162.9104671614347</c:v>
                </c:pt>
                <c:pt idx="65">
                  <c:v>161.99688395788274</c:v>
                </c:pt>
              </c:numCache>
            </c:numRef>
          </c:val>
          <c:smooth val="0"/>
          <c:extLst>
            <c:ext xmlns:c16="http://schemas.microsoft.com/office/drawing/2014/chart" uri="{C3380CC4-5D6E-409C-BE32-E72D297353CC}">
              <c16:uniqueId val="{0000000E-27AB-4962-A6B3-C6684ED60405}"/>
            </c:ext>
          </c:extLst>
        </c:ser>
        <c:ser>
          <c:idx val="9"/>
          <c:order val="9"/>
          <c:tx>
            <c:v>Kindur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Data'!$I$169:$BV$169</c:f>
              <c:numCache>
                <c:formatCode>0</c:formatCode>
                <c:ptCount val="66"/>
                <c:pt idx="35">
                  <c:v>132.03335646721749</c:v>
                </c:pt>
                <c:pt idx="36">
                  <c:v>132.05273400172456</c:v>
                </c:pt>
                <c:pt idx="37">
                  <c:v>130.7462012066764</c:v>
                </c:pt>
                <c:pt idx="38">
                  <c:v>129.43954054409571</c:v>
                </c:pt>
                <c:pt idx="39">
                  <c:v>128.13275201398261</c:v>
                </c:pt>
                <c:pt idx="40">
                  <c:v>126.82583561633696</c:v>
                </c:pt>
                <c:pt idx="41">
                  <c:v>125.51879135115887</c:v>
                </c:pt>
                <c:pt idx="42">
                  <c:v>124.21161921844826</c:v>
                </c:pt>
                <c:pt idx="43">
                  <c:v>122.90431921820515</c:v>
                </c:pt>
                <c:pt idx="44">
                  <c:v>121.59689135042962</c:v>
                </c:pt>
                <c:pt idx="45">
                  <c:v>120.28933561512156</c:v>
                </c:pt>
                <c:pt idx="46">
                  <c:v>118.98165201228099</c:v>
                </c:pt>
                <c:pt idx="47">
                  <c:v>117.67384054190795</c:v>
                </c:pt>
                <c:pt idx="48">
                  <c:v>116.36590120400245</c:v>
                </c:pt>
                <c:pt idx="49">
                  <c:v>115.05783399856445</c:v>
                </c:pt>
                <c:pt idx="50">
                  <c:v>113.74963892559396</c:v>
                </c:pt>
                <c:pt idx="51">
                  <c:v>112.44131598509098</c:v>
                </c:pt>
                <c:pt idx="52">
                  <c:v>111.13286517705552</c:v>
                </c:pt>
                <c:pt idx="53">
                  <c:v>109.82428650148758</c:v>
                </c:pt>
                <c:pt idx="54">
                  <c:v>108.51557995838714</c:v>
                </c:pt>
                <c:pt idx="55">
                  <c:v>107.20674554775421</c:v>
                </c:pt>
                <c:pt idx="56">
                  <c:v>105.89778326958881</c:v>
                </c:pt>
                <c:pt idx="57">
                  <c:v>104.58869312389091</c:v>
                </c:pt>
                <c:pt idx="58">
                  <c:v>103.27947511066053</c:v>
                </c:pt>
                <c:pt idx="59">
                  <c:v>101.97012922989765</c:v>
                </c:pt>
                <c:pt idx="60">
                  <c:v>100.6606554816023</c:v>
                </c:pt>
                <c:pt idx="61">
                  <c:v>99.35105386577446</c:v>
                </c:pt>
                <c:pt idx="62">
                  <c:v>98.041324382414103</c:v>
                </c:pt>
                <c:pt idx="63">
                  <c:v>96.731467031521348</c:v>
                </c:pt>
                <c:pt idx="64">
                  <c:v>95.421481813096051</c:v>
                </c:pt>
                <c:pt idx="65">
                  <c:v>94.111368727138228</c:v>
                </c:pt>
              </c:numCache>
            </c:numRef>
          </c:val>
          <c:smooth val="0"/>
          <c:extLst>
            <c:ext xmlns:c16="http://schemas.microsoft.com/office/drawing/2014/chart" uri="{C3380CC4-5D6E-409C-BE32-E72D297353CC}">
              <c16:uniqueId val="{0000000F-27AB-4962-A6B3-C6684ED60405}"/>
            </c:ext>
          </c:extLst>
        </c:ser>
        <c:ser>
          <c:idx val="4"/>
          <c:order val="10"/>
          <c:tx>
            <c:v>Tilbúinn áburður og kölkun WEM</c:v>
          </c:tx>
          <c:spPr>
            <a:ln w="19050" cap="rnd">
              <a:solidFill>
                <a:srgbClr val="FFBCB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Data'!$I$153:$BV$153</c:f>
              <c:numCache>
                <c:formatCode>0</c:formatCode>
                <c:ptCount val="66"/>
                <c:pt idx="35">
                  <c:v>66.57016773211484</c:v>
                </c:pt>
                <c:pt idx="36">
                  <c:v>68.849040443223032</c:v>
                </c:pt>
                <c:pt idx="37">
                  <c:v>59.258553838512611</c:v>
                </c:pt>
                <c:pt idx="38">
                  <c:v>59.238553481801581</c:v>
                </c:pt>
                <c:pt idx="39">
                  <c:v>59.181372392237833</c:v>
                </c:pt>
                <c:pt idx="40">
                  <c:v>59.111644482714766</c:v>
                </c:pt>
                <c:pt idx="41">
                  <c:v>59.053892885726924</c:v>
                </c:pt>
                <c:pt idx="42">
                  <c:v>59.016205922509251</c:v>
                </c:pt>
                <c:pt idx="43">
                  <c:v>58.977085254048617</c:v>
                </c:pt>
                <c:pt idx="44">
                  <c:v>58.932570222082177</c:v>
                </c:pt>
                <c:pt idx="45">
                  <c:v>58.893662773733823</c:v>
                </c:pt>
                <c:pt idx="46">
                  <c:v>58.856428989643753</c:v>
                </c:pt>
                <c:pt idx="47">
                  <c:v>58.822353298623227</c:v>
                </c:pt>
                <c:pt idx="48">
                  <c:v>58.788248169714109</c:v>
                </c:pt>
                <c:pt idx="49">
                  <c:v>58.754269512326829</c:v>
                </c:pt>
                <c:pt idx="50">
                  <c:v>58.718537512035667</c:v>
                </c:pt>
                <c:pt idx="51">
                  <c:v>58.685788413736937</c:v>
                </c:pt>
                <c:pt idx="52">
                  <c:v>58.65326221274546</c:v>
                </c:pt>
                <c:pt idx="53">
                  <c:v>58.616514575575181</c:v>
                </c:pt>
                <c:pt idx="54">
                  <c:v>58.578462345077497</c:v>
                </c:pt>
                <c:pt idx="55">
                  <c:v>58.553366224713727</c:v>
                </c:pt>
                <c:pt idx="56">
                  <c:v>58.521354726778917</c:v>
                </c:pt>
                <c:pt idx="57">
                  <c:v>58.495406021121141</c:v>
                </c:pt>
                <c:pt idx="58">
                  <c:v>58.469306768422371</c:v>
                </c:pt>
                <c:pt idx="59">
                  <c:v>58.448296312815316</c:v>
                </c:pt>
                <c:pt idx="60">
                  <c:v>58.42657478330397</c:v>
                </c:pt>
                <c:pt idx="61">
                  <c:v>58.404733370239818</c:v>
                </c:pt>
                <c:pt idx="62">
                  <c:v>58.384264516389003</c:v>
                </c:pt>
                <c:pt idx="63">
                  <c:v>58.364120290903102</c:v>
                </c:pt>
                <c:pt idx="64">
                  <c:v>58.341609521953771</c:v>
                </c:pt>
                <c:pt idx="65">
                  <c:v>58.321070788724946</c:v>
                </c:pt>
              </c:numCache>
            </c:numRef>
          </c:val>
          <c:smooth val="0"/>
          <c:extLst>
            <c:ext xmlns:c16="http://schemas.microsoft.com/office/drawing/2014/chart" uri="{C3380CC4-5D6E-409C-BE32-E72D297353CC}">
              <c16:uniqueId val="{00000010-27AB-4962-A6B3-C6684ED60405}"/>
            </c:ext>
          </c:extLst>
        </c:ser>
        <c:ser>
          <c:idx val="12"/>
          <c:order val="11"/>
          <c:tx>
            <c:v>lífrænn áburður WEM</c:v>
          </c:tx>
          <c:spPr>
            <a:ln w="19050" cap="rnd">
              <a:solidFill>
                <a:srgbClr val="F7E609"/>
              </a:solidFill>
              <a:prstDash val="dash"/>
              <a:round/>
            </a:ln>
            <a:effectLst/>
          </c:spPr>
          <c:marker>
            <c:symbol val="none"/>
          </c:marker>
          <c:val>
            <c:numRef>
              <c:f>'Talnagögn | Numerical Data'!$I$159:$BV$159</c:f>
              <c:numCache>
                <c:formatCode>0</c:formatCode>
                <c:ptCount val="66"/>
                <c:pt idx="35">
                  <c:v>32.395897460630628</c:v>
                </c:pt>
                <c:pt idx="36">
                  <c:v>32.831760961763685</c:v>
                </c:pt>
                <c:pt idx="37">
                  <c:v>32.814612838918471</c:v>
                </c:pt>
                <c:pt idx="38">
                  <c:v>32.803257477149728</c:v>
                </c:pt>
                <c:pt idx="39">
                  <c:v>32.860526822527468</c:v>
                </c:pt>
                <c:pt idx="40">
                  <c:v>32.941187880691793</c:v>
                </c:pt>
                <c:pt idx="41">
                  <c:v>32.872924299641973</c:v>
                </c:pt>
                <c:pt idx="42">
                  <c:v>32.911263519559931</c:v>
                </c:pt>
                <c:pt idx="43">
                  <c:v>32.8781850878499</c:v>
                </c:pt>
                <c:pt idx="44">
                  <c:v>32.855703330928371</c:v>
                </c:pt>
                <c:pt idx="45">
                  <c:v>32.77863918072044</c:v>
                </c:pt>
                <c:pt idx="46">
                  <c:v>32.729027652635644</c:v>
                </c:pt>
                <c:pt idx="47">
                  <c:v>32.685890338992621</c:v>
                </c:pt>
                <c:pt idx="48">
                  <c:v>32.634789989557341</c:v>
                </c:pt>
                <c:pt idx="49">
                  <c:v>32.584946740656456</c:v>
                </c:pt>
                <c:pt idx="50">
                  <c:v>32.571830710053881</c:v>
                </c:pt>
                <c:pt idx="51">
                  <c:v>32.543972192696614</c:v>
                </c:pt>
                <c:pt idx="52">
                  <c:v>32.521738782861718</c:v>
                </c:pt>
                <c:pt idx="53">
                  <c:v>32.564120603301646</c:v>
                </c:pt>
                <c:pt idx="54">
                  <c:v>32.628626962724923</c:v>
                </c:pt>
                <c:pt idx="55">
                  <c:v>32.552029151399857</c:v>
                </c:pt>
                <c:pt idx="56">
                  <c:v>32.575881350638852</c:v>
                </c:pt>
                <c:pt idx="57">
                  <c:v>32.532297889785369</c:v>
                </c:pt>
                <c:pt idx="58">
                  <c:v>32.498663271185009</c:v>
                </c:pt>
                <c:pt idx="59">
                  <c:v>32.413444721152516</c:v>
                </c:pt>
                <c:pt idx="60">
                  <c:v>32.353766943289301</c:v>
                </c:pt>
                <c:pt idx="61">
                  <c:v>32.300262139117585</c:v>
                </c:pt>
                <c:pt idx="62">
                  <c:v>32.239152495046184</c:v>
                </c:pt>
                <c:pt idx="63">
                  <c:v>32.179253946109355</c:v>
                </c:pt>
                <c:pt idx="64">
                  <c:v>32.153860924178346</c:v>
                </c:pt>
                <c:pt idx="65">
                  <c:v>32.114406963255689</c:v>
                </c:pt>
              </c:numCache>
            </c:numRef>
          </c:val>
          <c:smooth val="0"/>
          <c:extLst>
            <c:ext xmlns:c16="http://schemas.microsoft.com/office/drawing/2014/chart" uri="{C3380CC4-5D6E-409C-BE32-E72D297353CC}">
              <c16:uniqueId val="{00000011-27AB-4962-A6B3-C6684ED60405}"/>
            </c:ext>
          </c:extLst>
        </c:ser>
        <c:ser>
          <c:idx val="5"/>
          <c:order val="12"/>
          <c:tx>
            <c:v>Hestar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Data'!$I$174:$BV$174</c:f>
              <c:numCache>
                <c:formatCode>0</c:formatCode>
                <c:ptCount val="66"/>
                <c:pt idx="35">
                  <c:v>22.773212088953969</c:v>
                </c:pt>
                <c:pt idx="36">
                  <c:v>22.676003990787834</c:v>
                </c:pt>
                <c:pt idx="37">
                  <c:v>22.577138695336991</c:v>
                </c:pt>
                <c:pt idx="38">
                  <c:v>22.478273399886145</c:v>
                </c:pt>
                <c:pt idx="39">
                  <c:v>22.379408104435306</c:v>
                </c:pt>
                <c:pt idx="40">
                  <c:v>22.28054280898446</c:v>
                </c:pt>
                <c:pt idx="41">
                  <c:v>22.181677513533618</c:v>
                </c:pt>
                <c:pt idx="42">
                  <c:v>22.082812218082776</c:v>
                </c:pt>
                <c:pt idx="43">
                  <c:v>21.98394692263194</c:v>
                </c:pt>
                <c:pt idx="44">
                  <c:v>21.885081627181098</c:v>
                </c:pt>
                <c:pt idx="45">
                  <c:v>21.786216331730255</c:v>
                </c:pt>
                <c:pt idx="46">
                  <c:v>21.687351036279409</c:v>
                </c:pt>
                <c:pt idx="47">
                  <c:v>21.588485740828567</c:v>
                </c:pt>
                <c:pt idx="48">
                  <c:v>21.489620445377728</c:v>
                </c:pt>
                <c:pt idx="49">
                  <c:v>21.390755149926882</c:v>
                </c:pt>
                <c:pt idx="50">
                  <c:v>21.291889854476047</c:v>
                </c:pt>
                <c:pt idx="51">
                  <c:v>21.193024559025197</c:v>
                </c:pt>
                <c:pt idx="52">
                  <c:v>21.094159263574362</c:v>
                </c:pt>
                <c:pt idx="53">
                  <c:v>20.995293968123519</c:v>
                </c:pt>
                <c:pt idx="54">
                  <c:v>20.896428672672677</c:v>
                </c:pt>
                <c:pt idx="55">
                  <c:v>20.797563377221831</c:v>
                </c:pt>
                <c:pt idx="56">
                  <c:v>20.698698081770988</c:v>
                </c:pt>
                <c:pt idx="57">
                  <c:v>20.599832786320139</c:v>
                </c:pt>
                <c:pt idx="58">
                  <c:v>20.500967490869307</c:v>
                </c:pt>
                <c:pt idx="59">
                  <c:v>20.402102195418458</c:v>
                </c:pt>
                <c:pt idx="60">
                  <c:v>20.303236899967619</c:v>
                </c:pt>
                <c:pt idx="61">
                  <c:v>20.204371604516776</c:v>
                </c:pt>
                <c:pt idx="62">
                  <c:v>20.10550630906593</c:v>
                </c:pt>
                <c:pt idx="63">
                  <c:v>20.006641013615095</c:v>
                </c:pt>
                <c:pt idx="64">
                  <c:v>19.907775718164253</c:v>
                </c:pt>
                <c:pt idx="65">
                  <c:v>19.80891042271341</c:v>
                </c:pt>
              </c:numCache>
            </c:numRef>
          </c:val>
          <c:smooth val="0"/>
          <c:extLst>
            <c:ext xmlns:c16="http://schemas.microsoft.com/office/drawing/2014/chart" uri="{C3380CC4-5D6E-409C-BE32-E72D297353CC}">
              <c16:uniqueId val="{00000012-27AB-4962-A6B3-C6684ED60405}"/>
            </c:ext>
          </c:extLst>
        </c:ser>
        <c:ser>
          <c:idx val="8"/>
          <c:order val="13"/>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Data'!$I$179:$BV$179</c:f>
              <c:numCache>
                <c:formatCode>0</c:formatCode>
                <c:ptCount val="66"/>
                <c:pt idx="35">
                  <c:v>38.304253225316643</c:v>
                </c:pt>
                <c:pt idx="36">
                  <c:v>36.487128318274586</c:v>
                </c:pt>
                <c:pt idx="37">
                  <c:v>36.34373586551385</c:v>
                </c:pt>
                <c:pt idx="38">
                  <c:v>36.230544373166367</c:v>
                </c:pt>
                <c:pt idx="39">
                  <c:v>36.072212359455534</c:v>
                </c:pt>
                <c:pt idx="40">
                  <c:v>35.934002206843729</c:v>
                </c:pt>
                <c:pt idx="41">
                  <c:v>35.814635410969572</c:v>
                </c:pt>
                <c:pt idx="42">
                  <c:v>35.643072435658155</c:v>
                </c:pt>
                <c:pt idx="43">
                  <c:v>35.509778404500366</c:v>
                </c:pt>
                <c:pt idx="44">
                  <c:v>35.379963784190863</c:v>
                </c:pt>
                <c:pt idx="45">
                  <c:v>35.262439293502666</c:v>
                </c:pt>
                <c:pt idx="46">
                  <c:v>35.097562778701786</c:v>
                </c:pt>
                <c:pt idx="47">
                  <c:v>34.951961972107938</c:v>
                </c:pt>
                <c:pt idx="48">
                  <c:v>34.804297373040868</c:v>
                </c:pt>
                <c:pt idx="49">
                  <c:v>34.670828534779048</c:v>
                </c:pt>
                <c:pt idx="50">
                  <c:v>34.538680884512587</c:v>
                </c:pt>
                <c:pt idx="51">
                  <c:v>34.397366572893588</c:v>
                </c:pt>
                <c:pt idx="52">
                  <c:v>34.285001432439003</c:v>
                </c:pt>
                <c:pt idx="53">
                  <c:v>34.130502532090873</c:v>
                </c:pt>
                <c:pt idx="54">
                  <c:v>33.995002729609496</c:v>
                </c:pt>
                <c:pt idx="55">
                  <c:v>33.877028233629744</c:v>
                </c:pt>
                <c:pt idx="56">
                  <c:v>33.710470163104674</c:v>
                </c:pt>
                <c:pt idx="57">
                  <c:v>33.579735784563695</c:v>
                </c:pt>
                <c:pt idx="58">
                  <c:v>33.452381347574828</c:v>
                </c:pt>
                <c:pt idx="59">
                  <c:v>33.334995173919197</c:v>
                </c:pt>
                <c:pt idx="60">
                  <c:v>33.175111602462721</c:v>
                </c:pt>
                <c:pt idx="61">
                  <c:v>33.033379276658252</c:v>
                </c:pt>
                <c:pt idx="62">
                  <c:v>32.889862168844957</c:v>
                </c:pt>
                <c:pt idx="63">
                  <c:v>32.759727819177897</c:v>
                </c:pt>
                <c:pt idx="64">
                  <c:v>32.631021975798376</c:v>
                </c:pt>
                <c:pt idx="65">
                  <c:v>32.493920844332138</c:v>
                </c:pt>
              </c:numCache>
            </c:numRef>
          </c:val>
          <c:smooth val="0"/>
          <c:extLst>
            <c:ext xmlns:c16="http://schemas.microsoft.com/office/drawing/2014/chart" uri="{C3380CC4-5D6E-409C-BE32-E72D297353CC}">
              <c16:uniqueId val="{00000013-27AB-4962-A6B3-C6684ED60405}"/>
            </c:ext>
          </c:extLst>
        </c:ser>
        <c:dLbls>
          <c:showLegendKey val="0"/>
          <c:showVal val="0"/>
          <c:showCatName val="0"/>
          <c:showSerName val="0"/>
          <c:showPercent val="0"/>
          <c:showBubbleSize val="0"/>
        </c:dLbls>
        <c:smooth val="0"/>
        <c:axId val="1082038936"/>
        <c:axId val="1142935720"/>
        <c:extLst>
          <c:ext xmlns:c15="http://schemas.microsoft.com/office/drawing/2012/chart" uri="{02D57815-91ED-43cb-92C2-25804820EDAC}">
            <c15:filteredLineSeries>
              <c15:ser>
                <c:idx val="13"/>
                <c:order val="14"/>
                <c:tx>
                  <c:v>Áburðarnotkun WAM</c:v>
                </c:tx>
                <c:spPr>
                  <a:ln w="28575" cap="rnd">
                    <a:solidFill>
                      <a:schemeClr val="accent2">
                        <a:lumMod val="80000"/>
                        <a:lumOff val="20000"/>
                      </a:schemeClr>
                    </a:solidFill>
                    <a:round/>
                  </a:ln>
                  <a:effectLst/>
                </c:spPr>
                <c:marker>
                  <c:symbol val="none"/>
                </c:marker>
                <c:cat>
                  <c:numRef>
                    <c:extLst>
                      <c:ext uri="{02D57815-91ED-43cb-92C2-25804820EDAC}">
                        <c15:formulaRef>
                          <c15:sqref>'Talnagögn | Numerical Data'!$I$1:$BV$1</c15:sqref>
                        </c15:formulaRef>
                      </c:ext>
                    </c:extLst>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uri="{02D57815-91ED-43cb-92C2-25804820EDAC}">
                        <c15:formulaRef>
                          <c15:sqref>'Talnagögn | Numerical Data'!#REF!</c15:sqref>
                        </c15:formulaRef>
                      </c:ext>
                    </c:extLst>
                    <c:numCache>
                      <c:formatCode>General</c:formatCode>
                      <c:ptCount val="1"/>
                      <c:pt idx="0">
                        <c:v>1</c:v>
                      </c:pt>
                    </c:numCache>
                  </c:numRef>
                </c:val>
                <c:smooth val="0"/>
                <c:extLst>
                  <c:ext xmlns:c16="http://schemas.microsoft.com/office/drawing/2014/chart" uri="{C3380CC4-5D6E-409C-BE32-E72D297353CC}">
                    <c16:uniqueId val="{00000014-27AB-4962-A6B3-C6684ED60405}"/>
                  </c:ext>
                </c:extLst>
              </c15:ser>
            </c15:filteredLineSeries>
          </c:ext>
        </c:extLst>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max val="25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ayout>
        <c:manualLayout>
          <c:xMode val="edge"/>
          <c:yMode val="edge"/>
          <c:x val="0.72741654589371985"/>
          <c:y val="0.23688425925925927"/>
          <c:w val="0.27258345410628021"/>
          <c:h val="0.5090833333333333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96E-2"/>
          <c:y val="3.4452246276592595E-2"/>
          <c:w val="0.63895724637681151"/>
          <c:h val="0.84650123456790127"/>
        </c:manualLayout>
      </c:layout>
      <c:areaChart>
        <c:grouping val="stacked"/>
        <c:varyColors val="0"/>
        <c:ser>
          <c:idx val="8"/>
          <c:order val="0"/>
          <c:tx>
            <c:v>Waste Total</c:v>
          </c:tx>
          <c:spPr>
            <a:solidFill>
              <a:srgbClr val="ED7D31">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Data'!$I$234:$AX$234</c15:sqref>
                  </c15:fullRef>
                </c:ext>
              </c:extLst>
              <c:f>'Talnagögn | Numerical Data'!$I$234:$AR$234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5="http://schemas.microsoft.com/office/drawing/2012/chart" uri="{02D57815-91ED-43cb-92C2-25804820EDAC}">
              <c15:categoryFilterExceptions>
                <c15:categoryFilterException>
                  <c15:sqref>'Talnagögn | Numerical Data'!$AX$234</c15:sqref>
                  <c15:spPr xmlns:c15="http://schemas.microsoft.com/office/drawing/2012/chart">
                    <a:solidFill>
                      <a:srgbClr val="ED7D31">
                        <a:alpha val="10000"/>
                      </a:srgbClr>
                    </a:solidFill>
                    <a:ln w="25400">
                      <a:noFill/>
                    </a:ln>
                    <a:effectLst/>
                  </c15:spPr>
                </c15:categoryFilterException>
              </c15:categoryFilterExceptions>
            </c:ext>
            <c:ext xmlns:c16="http://schemas.microsoft.com/office/drawing/2014/chart" uri="{C3380CC4-5D6E-409C-BE32-E72D297353CC}">
              <c16:uniqueId val="{00000000-986A-4E88-A73A-2649D9EB0EFC}"/>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Data'!$G$230</c:f>
              <c:strCache>
                <c:ptCount val="1"/>
                <c:pt idx="0">
                  <c:v>Solid Waste Disposal on Land</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1-986A-4E88-A73A-2649D9EB0EFC}"/>
            </c:ext>
          </c:extLst>
        </c:ser>
        <c:ser>
          <c:idx val="1"/>
          <c:order val="2"/>
          <c:tx>
            <c:strRef>
              <c:f>'Talnagögn | Numerical Data'!$G$233</c:f>
              <c:strCache>
                <c:ptCount val="1"/>
                <c:pt idx="0">
                  <c:v>Wastewater Treatment and Discharge</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2-986A-4E88-A73A-2649D9EB0EFC}"/>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rgbClr val="FFFFFF">
                  <a:lumMod val="85000"/>
                </a:srgb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midCat"/>
      </c:valAx>
      <c:spPr>
        <a:noFill/>
        <a:ln>
          <a:noFill/>
        </a:ln>
        <a:effectLst/>
      </c:spPr>
    </c:plotArea>
    <c:legend>
      <c:legendPos val="r"/>
      <c:layout>
        <c:manualLayout>
          <c:xMode val="edge"/>
          <c:yMode val="edge"/>
          <c:x val="0.75228562801932364"/>
          <c:y val="0.38447129629629628"/>
          <c:w val="0.24771437198067633"/>
          <c:h val="0.237785296599784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44384057971015"/>
          <c:h val="0.8754916198981505"/>
        </c:manualLayout>
      </c:layout>
      <c:lineChart>
        <c:grouping val="standard"/>
        <c:varyColors val="0"/>
        <c:ser>
          <c:idx val="1"/>
          <c:order val="0"/>
          <c:tx>
            <c:strRef>
              <c:f>'Talnagögn | Numerical Data'!$E$53</c:f>
              <c:strCache>
                <c:ptCount val="1"/>
                <c:pt idx="0">
                  <c:v>Söguleg losun</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Data'!$I$67:$AX$67</c:f>
              <c:numCache>
                <c:formatCode>0</c:formatCode>
                <c:ptCount val="42"/>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AF4D-4EE2-BEC3-A5FE5E4EAF50}"/>
            </c:ext>
          </c:extLst>
        </c:ser>
        <c:ser>
          <c:idx val="5"/>
          <c:order val="1"/>
          <c:tx>
            <c:strRef>
              <c:f>'Talnagögn | Numerical Data'!$E$69</c:f>
              <c:strCache>
                <c:ptCount val="1"/>
                <c:pt idx="0">
                  <c:v>Losunarspá: Sviðsmynd byggð á aðgerðum stjórnvalda</c:v>
                </c:pt>
              </c:strCache>
            </c:strRef>
          </c:tx>
          <c:spPr>
            <a:ln>
              <a:solidFill>
                <a:srgbClr val="008AAC"/>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Data'!$I$83:$BV$83</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2-AF4D-4EE2-BEC3-A5FE5E4EAF50}"/>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7838143032918663E-4"/>
              <c:y val="0.12729852892668417"/>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3917016478935249"/>
          <c:y val="0.39146807094834901"/>
          <c:w val="0.21421455977525064"/>
          <c:h val="0.22646336706362866"/>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49208103344985"/>
          <c:y val="6.8300367180625307E-2"/>
          <c:w val="0.44816270505670702"/>
          <c:h val="0.85397282009785402"/>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4137-4567-83E1-BACD88ACD170}"/>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4137-4567-83E1-BACD88ACD170}"/>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4137-4567-83E1-BACD88ACD170}"/>
              </c:ext>
            </c:extLst>
          </c:dPt>
          <c:dPt>
            <c:idx val="3"/>
            <c:bubble3D val="0"/>
            <c:spPr>
              <a:solidFill>
                <a:srgbClr val="68A200"/>
              </a:solidFill>
              <a:ln w="19050">
                <a:solidFill>
                  <a:schemeClr val="lt1"/>
                </a:solidFill>
              </a:ln>
              <a:effectLst/>
            </c:spPr>
            <c:extLst>
              <c:ext xmlns:c16="http://schemas.microsoft.com/office/drawing/2014/chart" uri="{C3380CC4-5D6E-409C-BE32-E72D297353CC}">
                <c16:uniqueId val="{00000007-4137-4567-83E1-BACD88ACD170}"/>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4137-4567-83E1-BACD88ACD170}"/>
              </c:ext>
            </c:extLst>
          </c:dPt>
          <c:dLbls>
            <c:dLbl>
              <c:idx val="0"/>
              <c:layout>
                <c:manualLayout>
                  <c:x val="-0.24472823824976969"/>
                  <c:y val="4.8125826356291368E-2"/>
                </c:manualLayout>
              </c:layout>
              <c:tx>
                <c:rich>
                  <a:bodyPr/>
                  <a:lstStyle/>
                  <a:p>
                    <a:fld id="{FDD57418-BDD3-4A8F-8EF0-0633711237CF}" type="CATEGORYNAME">
                      <a:rPr lang="en-US" sz="1200" b="1"/>
                      <a:pPr/>
                      <a:t>[CATEGORY NAME]</a:t>
                    </a:fld>
                    <a:r>
                      <a:rPr lang="en-US" baseline="0"/>
                      <a:t>
</a:t>
                    </a:r>
                    <a:fld id="{83E65AE0-A292-44BE-815C-4297996BC2A6}" type="VALUE">
                      <a:rPr lang="en-US" sz="1000" baseline="0"/>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r>
                      <a:rPr lang="en-US" sz="1000" baseline="0"/>
                      <a:t>
</a:t>
                    </a:r>
                    <a:fld id="{A9EA2292-6204-4278-A742-C0DC2D3ED94D}"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443117265800206"/>
                      <c:h val="0.18014494398480524"/>
                    </c:manualLayout>
                  </c15:layout>
                  <c15:dlblFieldTable/>
                  <c15:showDataLabelsRange val="0"/>
                </c:ext>
                <c:ext xmlns:c16="http://schemas.microsoft.com/office/drawing/2014/chart" uri="{C3380CC4-5D6E-409C-BE32-E72D297353CC}">
                  <c16:uniqueId val="{00000001-4137-4567-83E1-BACD88ACD170}"/>
                </c:ext>
              </c:extLst>
            </c:dLbl>
            <c:dLbl>
              <c:idx val="1"/>
              <c:layout>
                <c:manualLayout>
                  <c:x val="-0.19863135913063043"/>
                  <c:y val="-0.1246763602713159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C081B4E-E3BC-44AA-8304-C81EA4573251}" type="CATEGORYNAME">
                      <a:rPr lang="en-US" sz="1200" b="1"/>
                      <a:pPr>
                        <a:defRPr sz="1000"/>
                      </a:pPr>
                      <a:t>[CATEGORY NAME]</a:t>
                    </a:fld>
                    <a:r>
                      <a:rPr lang="en-US" sz="1000"/>
                      <a:t>
</a:t>
                    </a:r>
                    <a:fld id="{B5B0315A-565C-453B-AA84-0568A3DBD7B7}" type="VALUE">
                      <a:rPr lang="en-US" sz="1000"/>
                      <a:pPr>
                        <a:defRPr sz="1000"/>
                      </a:pPr>
                      <a:t>[VALUE]</a:t>
                    </a:fld>
                    <a:r>
                      <a:rPr lang="en-US" sz="1000"/>
                      <a:t> þús. tonn CO₂-íg.
</a:t>
                    </a:r>
                    <a:fld id="{2B618588-BF7B-41B9-9843-8929618E4BDE}" type="PERCENTAGE">
                      <a:rPr lang="en-US" sz="1000"/>
                      <a:pPr>
                        <a:defRPr sz="1000"/>
                      </a:pPr>
                      <a:t>[PERCENTAGE]</a:t>
                    </a:fld>
                    <a:endParaRPr lang="en-US" sz="1000"/>
                  </a:p>
                </c:rich>
              </c:tx>
              <c:spPr>
                <a:noFill/>
                <a:ln w="6350">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18992572006037"/>
                      <c:h val="0.20405628777715373"/>
                    </c:manualLayout>
                  </c15:layout>
                  <c15:dlblFieldTable/>
                  <c15:showDataLabelsRange val="0"/>
                </c:ext>
                <c:ext xmlns:c16="http://schemas.microsoft.com/office/drawing/2014/chart" uri="{C3380CC4-5D6E-409C-BE32-E72D297353CC}">
                  <c16:uniqueId val="{00000003-4137-4567-83E1-BACD88ACD170}"/>
                </c:ext>
              </c:extLst>
            </c:dLbl>
            <c:dLbl>
              <c:idx val="2"/>
              <c:layout>
                <c:manualLayout>
                  <c:x val="0.23686800910970432"/>
                  <c:y val="-0.3535896147864742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4FF67B7C-36B9-4328-94B2-FCF50D53C16D}" type="CATEGORYNAME">
                      <a:rPr lang="en-US" sz="1200" b="1"/>
                      <a:pPr>
                        <a:defRPr sz="1000"/>
                      </a:pPr>
                      <a:t>[CATEGORY NAME]</a:t>
                    </a:fld>
                    <a:r>
                      <a:rPr lang="en-US" sz="1000"/>
                      <a:t>
</a:t>
                    </a:r>
                    <a:fld id="{A653B996-0D56-4670-B106-3715CCE8EBE8}" type="VALUE">
                      <a:rPr lang="en-US" sz="1000"/>
                      <a:pPr>
                        <a:defRPr sz="1000"/>
                      </a:pPr>
                      <a:t>[VALUE]</a:t>
                    </a:fld>
                    <a:r>
                      <a:rPr lang="en-US" sz="1000"/>
                      <a:t> þús. tonn CO₂-íg.
</a:t>
                    </a:r>
                    <a:fld id="{2429E722-45C1-4ADF-A307-7F957E76063A}"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932941343017732"/>
                      <c:h val="0.16076322097312881"/>
                    </c:manualLayout>
                  </c15:layout>
                  <c15:dlblFieldTable/>
                  <c15:showDataLabelsRange val="0"/>
                </c:ext>
                <c:ext xmlns:c16="http://schemas.microsoft.com/office/drawing/2014/chart" uri="{C3380CC4-5D6E-409C-BE32-E72D297353CC}">
                  <c16:uniqueId val="{00000005-4137-4567-83E1-BACD88ACD170}"/>
                </c:ext>
              </c:extLst>
            </c:dLbl>
            <c:dLbl>
              <c:idx val="3"/>
              <c:layout>
                <c:manualLayout>
                  <c:x val="0.20126726928619496"/>
                  <c:y val="-5.0604268294520156E-3"/>
                </c:manualLayout>
              </c:layout>
              <c:tx>
                <c:rich>
                  <a:bodyPr/>
                  <a:lstStyle/>
                  <a:p>
                    <a:fld id="{35BD04DC-8843-48C2-A6D0-65519F1A6BC5}" type="CATEGORYNAME">
                      <a:rPr lang="en-US" sz="1200" b="1"/>
                      <a:pPr/>
                      <a:t>[CATEGORY NAME]</a:t>
                    </a:fld>
                    <a:r>
                      <a:rPr lang="en-US" sz="1000" baseline="0"/>
                      <a:t>
</a:t>
                    </a:r>
                    <a:fld id="{2E095C5F-A9B6-4A71-B5BD-62FF081C653E}" type="VALUE">
                      <a:rPr lang="en-US" sz="1000" baseline="0"/>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r>
                      <a:rPr lang="en-US" sz="1000" baseline="0"/>
                      <a:t>
</a:t>
                    </a:r>
                    <a:fld id="{B9C32234-11AA-4E5B-9528-20C690978235}"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071271059634324"/>
                      <c:h val="0.22541035289233188"/>
                    </c:manualLayout>
                  </c15:layout>
                  <c15:dlblFieldTable/>
                  <c15:showDataLabelsRange val="0"/>
                </c:ext>
                <c:ext xmlns:c16="http://schemas.microsoft.com/office/drawing/2014/chart" uri="{C3380CC4-5D6E-409C-BE32-E72D297353CC}">
                  <c16:uniqueId val="{00000007-4137-4567-83E1-BACD88ACD170}"/>
                </c:ext>
              </c:extLst>
            </c:dLbl>
            <c:dLbl>
              <c:idx val="4"/>
              <c:layout>
                <c:manualLayout>
                  <c:x val="-0.16299095227910249"/>
                  <c:y val="0.1779642849174638"/>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291D730-0AC8-45C7-A43C-13191D226015}" type="CATEGORYNAME">
                      <a:rPr lang="en-US" sz="1200" b="1"/>
                      <a:pPr>
                        <a:defRPr sz="1000"/>
                      </a:pPr>
                      <a:t>[CATEGORY NAME]</a:t>
                    </a:fld>
                    <a:r>
                      <a:rPr lang="en-US" sz="1000"/>
                      <a:t>
</a:t>
                    </a:r>
                    <a:fld id="{6CB422A1-E55C-4CB9-8392-498D619C2B13}" type="VALUE">
                      <a:rPr lang="en-US" sz="1000"/>
                      <a:pPr>
                        <a:defRPr sz="1000"/>
                      </a:pPr>
                      <a:t>[VALUE]</a:t>
                    </a:fld>
                    <a:r>
                      <a:rPr lang="en-US" sz="1000"/>
                      <a:t> þús. tonn CO₂-íg.
</a:t>
                    </a:r>
                    <a:fld id="{82A63583-BE5F-4D28-8FFE-F26CD27B1A4F}"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803117242376819"/>
                      <c:h val="0.15858571454901196"/>
                    </c:manualLayout>
                  </c15:layout>
                  <c15:dlblFieldTable/>
                  <c15:showDataLabelsRange val="0"/>
                </c:ext>
                <c:ext xmlns:c16="http://schemas.microsoft.com/office/drawing/2014/chart" uri="{C3380CC4-5D6E-409C-BE32-E72D297353CC}">
                  <c16:uniqueId val="{00000009-4137-4567-83E1-BACD88ACD170}"/>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Emissions'!$E$8:$E$12</c:f>
              <c:strCache>
                <c:ptCount val="5"/>
                <c:pt idx="0">
                  <c:v>Orka</c:v>
                </c:pt>
                <c:pt idx="1">
                  <c:v>Iðnaður og vörunotkun</c:v>
                </c:pt>
                <c:pt idx="2">
                  <c:v>Landbúnaður</c:v>
                </c:pt>
                <c:pt idx="3">
                  <c:v>Landnotkun</c:v>
                </c:pt>
                <c:pt idx="4">
                  <c:v>Úrgangur</c:v>
                </c:pt>
              </c:strCache>
            </c:strRef>
          </c:cat>
          <c:val>
            <c:numRef>
              <c:f>'Losun | Emissions'!$F$8:$F$12</c:f>
              <c:numCache>
                <c:formatCode>0</c:formatCode>
                <c:ptCount val="5"/>
                <c:pt idx="0">
                  <c:v>1804.0629487280448</c:v>
                </c:pt>
                <c:pt idx="1">
                  <c:v>1794.4196472392562</c:v>
                </c:pt>
                <c:pt idx="2">
                  <c:v>668.34042724521601</c:v>
                </c:pt>
                <c:pt idx="3">
                  <c:v>6080.3410384327608</c:v>
                </c:pt>
                <c:pt idx="4">
                  <c:v>222.59190359498734</c:v>
                </c:pt>
              </c:numCache>
            </c:numRef>
          </c:val>
          <c:extLst>
            <c:ext xmlns:c16="http://schemas.microsoft.com/office/drawing/2014/chart" uri="{C3380CC4-5D6E-409C-BE32-E72D297353CC}">
              <c16:uniqueId val="{0000000A-4137-4567-83E1-BACD88ACD170}"/>
            </c:ext>
          </c:extLst>
        </c:ser>
        <c:dLbls>
          <c:showLegendKey val="0"/>
          <c:showVal val="0"/>
          <c:showCatName val="0"/>
          <c:showSerName val="0"/>
          <c:showPercent val="0"/>
          <c:showBubbleSize val="0"/>
          <c:showLeaderLines val="1"/>
        </c:dLbls>
        <c:firstSliceAng val="209"/>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067317708333333"/>
          <c:y val="0.1739597222222222"/>
          <c:w val="0.40123697916666667"/>
          <c:h val="0.71331018518518519"/>
        </c:manualLayout>
      </c:layout>
      <c:doughnut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FFC3-4C32-B9E9-92667C12606D}"/>
              </c:ext>
            </c:extLst>
          </c:dPt>
          <c:dPt>
            <c:idx val="1"/>
            <c:bubble3D val="0"/>
            <c:spPr>
              <a:solidFill>
                <a:srgbClr val="5E9FE8"/>
              </a:solidFill>
              <a:ln w="19050">
                <a:solidFill>
                  <a:schemeClr val="lt1"/>
                </a:solidFill>
              </a:ln>
              <a:effectLst/>
            </c:spPr>
            <c:extLst>
              <c:ext xmlns:c16="http://schemas.microsoft.com/office/drawing/2014/chart" uri="{C3380CC4-5D6E-409C-BE32-E72D297353CC}">
                <c16:uniqueId val="{00000003-FFC3-4C32-B9E9-92667C12606D}"/>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5-FFC3-4C32-B9E9-92667C12606D}"/>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FFC3-4C32-B9E9-92667C12606D}"/>
              </c:ext>
            </c:extLst>
          </c:dPt>
          <c:dPt>
            <c:idx val="4"/>
            <c:bubble3D val="0"/>
            <c:spPr>
              <a:solidFill>
                <a:srgbClr val="FFBB8D"/>
              </a:solidFill>
              <a:ln w="19050">
                <a:solidFill>
                  <a:schemeClr val="lt1"/>
                </a:solidFill>
              </a:ln>
              <a:effectLst/>
            </c:spPr>
            <c:extLst>
              <c:ext xmlns:c16="http://schemas.microsoft.com/office/drawing/2014/chart" uri="{C3380CC4-5D6E-409C-BE32-E72D297353CC}">
                <c16:uniqueId val="{00000009-FFC3-4C32-B9E9-92667C12606D}"/>
              </c:ext>
            </c:extLst>
          </c:dPt>
          <c:dPt>
            <c:idx val="5"/>
            <c:bubble3D val="0"/>
            <c:spPr>
              <a:solidFill>
                <a:schemeClr val="tx2"/>
              </a:solidFill>
              <a:ln w="19050">
                <a:solidFill>
                  <a:schemeClr val="lt1"/>
                </a:solidFill>
              </a:ln>
              <a:effectLst/>
            </c:spPr>
            <c:extLst>
              <c:ext xmlns:c16="http://schemas.microsoft.com/office/drawing/2014/chart" uri="{C3380CC4-5D6E-409C-BE32-E72D297353CC}">
                <c16:uniqueId val="{0000000B-FFC3-4C32-B9E9-92667C12606D}"/>
              </c:ext>
            </c:extLst>
          </c:dPt>
          <c:dPt>
            <c:idx val="6"/>
            <c:bubble3D val="0"/>
            <c:spPr>
              <a:solidFill>
                <a:srgbClr val="FFDDD8"/>
              </a:solidFill>
              <a:ln w="19050">
                <a:solidFill>
                  <a:schemeClr val="lt1"/>
                </a:solidFill>
              </a:ln>
              <a:effectLst/>
            </c:spPr>
            <c:extLst>
              <c:ext xmlns:c16="http://schemas.microsoft.com/office/drawing/2014/chart" uri="{C3380CC4-5D6E-409C-BE32-E72D297353CC}">
                <c16:uniqueId val="{0000000D-FFC3-4C32-B9E9-92667C12606D}"/>
              </c:ext>
            </c:extLst>
          </c:dPt>
          <c:dPt>
            <c:idx val="7"/>
            <c:bubble3D val="0"/>
            <c:spPr>
              <a:solidFill>
                <a:schemeClr val="tx1"/>
              </a:solidFill>
              <a:ln w="19050">
                <a:noFill/>
              </a:ln>
              <a:effectLst/>
            </c:spPr>
            <c:extLst>
              <c:ext xmlns:c16="http://schemas.microsoft.com/office/drawing/2014/chart" uri="{C3380CC4-5D6E-409C-BE32-E72D297353CC}">
                <c16:uniqueId val="{0000000F-FFC3-4C32-B9E9-92667C12606D}"/>
              </c:ext>
            </c:extLst>
          </c:dPt>
          <c:dLbls>
            <c:dLbl>
              <c:idx val="0"/>
              <c:layout>
                <c:manualLayout>
                  <c:x val="0.186306762716243"/>
                  <c:y val="-0.15394490740740741"/>
                </c:manualLayout>
              </c:layout>
              <c:tx>
                <c:rich>
                  <a:bodyPr/>
                  <a:lstStyle/>
                  <a:p>
                    <a:fld id="{9A2CE56F-586E-4003-9794-67084A62A598}" type="CATEGORYNAME">
                      <a:rPr lang="en-US" sz="1200" b="1"/>
                      <a:pPr/>
                      <a:t>[CATEGORY NAME]</a:t>
                    </a:fld>
                    <a:endParaRPr lang="en-US" b="1" baseline="0"/>
                  </a:p>
                  <a:p>
                    <a:fld id="{D4AFCDA9-00BF-42DA-8F95-0C59C01CA4F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972D3CA6-7982-4E71-83F8-68F7FCACD481}"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569817708333333"/>
                      <c:h val="0.16135717592592594"/>
                    </c:manualLayout>
                  </c15:layout>
                  <c15:dlblFieldTable/>
                  <c15:showDataLabelsRange val="0"/>
                </c:ext>
                <c:ext xmlns:c16="http://schemas.microsoft.com/office/drawing/2014/chart" uri="{C3380CC4-5D6E-409C-BE32-E72D297353CC}">
                  <c16:uniqueId val="{00000001-FFC3-4C32-B9E9-92667C12606D}"/>
                </c:ext>
              </c:extLst>
            </c:dLbl>
            <c:dLbl>
              <c:idx val="1"/>
              <c:layout>
                <c:manualLayout>
                  <c:x val="0.19953148778538055"/>
                  <c:y val="0.13392638888888889"/>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4D76421-6174-4AB1-A4A1-A21B75BB8144}"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r>
                      <a:rPr lang="en-US" sz="1000" baseline="0"/>
                      <a:t>
</a:t>
                    </a:r>
                    <a:fld id="{534EDE46-27D7-4686-85FD-08EF849D8586}" type="VALUE">
                      <a:rPr lang="en-US" sz="100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34A9B3C-4506-4DEE-B3D3-DBB55EEA4E70}" type="PERCENTAGE">
                      <a:rPr lang="en-US" sz="100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 sourceLinked="0"/>
              <c:spPr>
                <a:noFill/>
                <a:ln w="6350">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99309895833334"/>
                      <c:h val="0.18695949074074075"/>
                    </c:manualLayout>
                  </c15:layout>
                  <c15:dlblFieldTable/>
                  <c15:showDataLabelsRange val="0"/>
                </c:ext>
                <c:ext xmlns:c16="http://schemas.microsoft.com/office/drawing/2014/chart" uri="{C3380CC4-5D6E-409C-BE32-E72D297353CC}">
                  <c16:uniqueId val="{00000003-FFC3-4C32-B9E9-92667C12606D}"/>
                </c:ext>
              </c:extLst>
            </c:dLbl>
            <c:dLbl>
              <c:idx val="2"/>
              <c:layout>
                <c:manualLayout>
                  <c:x val="-0.14875751800294509"/>
                  <c:y val="0.1947755787037036"/>
                </c:manualLayout>
              </c:layout>
              <c:tx>
                <c:rich>
                  <a:bodyPr/>
                  <a:lstStyle/>
                  <a:p>
                    <a:fld id="{576C3055-7A14-4B3A-841D-178F58253F79}" type="CATEGORYNAME">
                      <a:rPr lang="en-US" sz="1200" b="1"/>
                      <a:pPr/>
                      <a:t>[CATEGORY NAME]</a:t>
                    </a:fld>
                    <a:endParaRPr lang="en-US" b="1" baseline="0"/>
                  </a:p>
                  <a:p>
                    <a:fld id="{BC6D3B06-7177-423D-AFAE-D37BD904C0FD}"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3F10CDF9-DE9A-4212-B42D-37F42E55E5C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0542356770833334"/>
                      <c:h val="0.17414768518518517"/>
                    </c:manualLayout>
                  </c15:layout>
                  <c15:dlblFieldTable/>
                  <c15:showDataLabelsRange val="0"/>
                </c:ext>
                <c:ext xmlns:c16="http://schemas.microsoft.com/office/drawing/2014/chart" uri="{C3380CC4-5D6E-409C-BE32-E72D297353CC}">
                  <c16:uniqueId val="{00000005-FFC3-4C32-B9E9-92667C12606D}"/>
                </c:ext>
              </c:extLst>
            </c:dLbl>
            <c:dLbl>
              <c:idx val="3"/>
              <c:layout>
                <c:manualLayout>
                  <c:x val="-0.36184122455335244"/>
                  <c:y val="0.17746412037037027"/>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2F863322-1B3D-447D-9C5B-F5B9DBE6B648}"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70D3F68E-BCFA-4AAA-88B8-02ADF59B487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753792BC-A2CC-4339-A503-B19182FBD55F}"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494622395833333"/>
                      <c:h val="0.16638078703703704"/>
                    </c:manualLayout>
                  </c15:layout>
                  <c15:dlblFieldTable/>
                  <c15:showDataLabelsRange val="0"/>
                </c:ext>
                <c:ext xmlns:c16="http://schemas.microsoft.com/office/drawing/2014/chart" uri="{C3380CC4-5D6E-409C-BE32-E72D297353CC}">
                  <c16:uniqueId val="{00000007-FFC3-4C32-B9E9-92667C12606D}"/>
                </c:ext>
              </c:extLst>
            </c:dLbl>
            <c:dLbl>
              <c:idx val="4"/>
              <c:layout>
                <c:manualLayout>
                  <c:x val="-0.3324910071005866"/>
                  <c:y val="7.6788194444443909E-3"/>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D6D24293-56B9-4295-829B-BA1EE0FD7EF2}"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4E5A6AF6-5CFF-4F6E-A51F-6CB234E78D8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0FA824EF-7390-481F-86CE-6CCBF757990A}"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96200387277014"/>
                      <c:h val="0.20552361111111109"/>
                    </c:manualLayout>
                  </c15:layout>
                  <c15:dlblFieldTable/>
                  <c15:showDataLabelsRange val="0"/>
                </c:ext>
                <c:ext xmlns:c16="http://schemas.microsoft.com/office/drawing/2014/chart" uri="{C3380CC4-5D6E-409C-BE32-E72D297353CC}">
                  <c16:uniqueId val="{00000009-FFC3-4C32-B9E9-92667C12606D}"/>
                </c:ext>
              </c:extLst>
            </c:dLbl>
            <c:dLbl>
              <c:idx val="5"/>
              <c:layout>
                <c:manualLayout>
                  <c:x val="-0.31620275219173744"/>
                  <c:y val="-0.1329133101851851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93A6EFF-BB30-400D-AE15-F8DC8C2EAAD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F1DD7C5F-DA06-4927-B9A1-8D79A6F8C383}"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E44184AC-C7F6-40EC-B7F0-201623969B0B}"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3789062499998"/>
                      <c:h val="0.15450416666666664"/>
                    </c:manualLayout>
                  </c15:layout>
                  <c15:dlblFieldTable/>
                  <c15:showDataLabelsRange val="0"/>
                </c:ext>
                <c:ext xmlns:c16="http://schemas.microsoft.com/office/drawing/2014/chart" uri="{C3380CC4-5D6E-409C-BE32-E72D297353CC}">
                  <c16:uniqueId val="{0000000B-FFC3-4C32-B9E9-92667C12606D}"/>
                </c:ext>
              </c:extLst>
            </c:dLbl>
            <c:dLbl>
              <c:idx val="6"/>
              <c:layout>
                <c:manualLayout>
                  <c:x val="-0.36390912783418267"/>
                  <c:y val="-0.3596920138888888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588284BB-67F2-4322-BD22-588DCC77F99C}"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2FCB070A-8073-495C-99E7-3DE139FF16E9}"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15C3C8B3-0A0D-4A5F-841E-2FCF725FC4A4}"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632526041666667"/>
                      <c:h val="0.15669120370370368"/>
                    </c:manualLayout>
                  </c15:layout>
                  <c15:dlblFieldTable/>
                  <c15:showDataLabelsRange val="0"/>
                </c:ext>
                <c:ext xmlns:c16="http://schemas.microsoft.com/office/drawing/2014/chart" uri="{C3380CC4-5D6E-409C-BE32-E72D297353CC}">
                  <c16:uniqueId val="{0000000D-FFC3-4C32-B9E9-92667C12606D}"/>
                </c:ext>
              </c:extLst>
            </c:dLbl>
            <c:dLbl>
              <c:idx val="7"/>
              <c:layout>
                <c:manualLayout>
                  <c:x val="-0.13080245544701335"/>
                  <c:y val="-0.316827314814814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9844B9E-3649-4016-BA2C-47199A7AC98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EF542913-9705-43EA-A06A-BBF2D5D0921F}"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D20568A3-7E7C-48CC-8D5E-3E6E5EDE2CB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911796875"/>
                      <c:h val="0.16638078703703704"/>
                    </c:manualLayout>
                  </c15:layout>
                  <c15:dlblFieldTable/>
                  <c15:showDataLabelsRange val="0"/>
                </c:ext>
                <c:ext xmlns:c16="http://schemas.microsoft.com/office/drawing/2014/chart" uri="{C3380CC4-5D6E-409C-BE32-E72D297353CC}">
                  <c16:uniqueId val="{0000000F-FFC3-4C32-B9E9-92667C12606D}"/>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Emissions'!$E$248:$E$255</c:f>
              <c:strCache>
                <c:ptCount val="8"/>
                <c:pt idx="0">
                  <c:v>Vegasamgöngur</c:v>
                </c:pt>
                <c:pt idx="1">
                  <c:v>Fiskiskip</c:v>
                </c:pt>
                <c:pt idx="2">
                  <c:v>Jarðvarmavirkjanir</c:v>
                </c:pt>
                <c:pt idx="3">
                  <c:v>Vélar og tæki</c:v>
                </c:pt>
                <c:pt idx="4">
                  <c:v>Eldsneytisbruni vegna staðbundins iðnaðar</c:v>
                </c:pt>
                <c:pt idx="5">
                  <c:v>Innanlandsflug</c:v>
                </c:pt>
                <c:pt idx="6">
                  <c:v>Strandsiglingar</c:v>
                </c:pt>
                <c:pt idx="7">
                  <c:v>Önnur losun</c:v>
                </c:pt>
              </c:strCache>
            </c:strRef>
          </c:cat>
          <c:val>
            <c:numRef>
              <c:f>'Losun | Emissions'!$F$248:$F$255</c:f>
              <c:numCache>
                <c:formatCode>0</c:formatCode>
                <c:ptCount val="8"/>
                <c:pt idx="0">
                  <c:v>917.25938476071508</c:v>
                </c:pt>
                <c:pt idx="1">
                  <c:v>482.07188977314064</c:v>
                </c:pt>
                <c:pt idx="2">
                  <c:v>214.07609476451782</c:v>
                </c:pt>
                <c:pt idx="3">
                  <c:v>77.003200912657135</c:v>
                </c:pt>
                <c:pt idx="4">
                  <c:v>57.67271537013076</c:v>
                </c:pt>
                <c:pt idx="5">
                  <c:v>19.219314461733333</c:v>
                </c:pt>
                <c:pt idx="6">
                  <c:v>22.342012716758749</c:v>
                </c:pt>
                <c:pt idx="7">
                  <c:v>14.418335968391148</c:v>
                </c:pt>
              </c:numCache>
            </c:numRef>
          </c:val>
          <c:extLst>
            <c:ext xmlns:c16="http://schemas.microsoft.com/office/drawing/2014/chart" uri="{C3380CC4-5D6E-409C-BE32-E72D297353CC}">
              <c16:uniqueId val="{00000010-FFC3-4C32-B9E9-92667C12606D}"/>
            </c:ext>
          </c:extLst>
        </c:ser>
        <c:dLbls>
          <c:showLegendKey val="0"/>
          <c:showVal val="0"/>
          <c:showCatName val="0"/>
          <c:showSerName val="0"/>
          <c:showPercent val="0"/>
          <c:showBubbleSize val="0"/>
          <c:showLeaderLines val="1"/>
        </c:dLbls>
        <c:firstSliceAng val="289"/>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600452193196188"/>
          <c:y val="0.10037869575950685"/>
          <c:w val="0.46487433487944474"/>
          <c:h val="0.81089760944000011"/>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4B1C-4E77-B534-A7F5B642BF92}"/>
              </c:ext>
            </c:extLst>
          </c:dPt>
          <c:dPt>
            <c:idx val="1"/>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3-4B1C-4E77-B534-A7F5B642BF92}"/>
              </c:ext>
            </c:extLst>
          </c:dPt>
          <c:dPt>
            <c:idx val="2"/>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5-4B1C-4E77-B534-A7F5B642BF92}"/>
              </c:ext>
            </c:extLst>
          </c:dPt>
          <c:dPt>
            <c:idx val="3"/>
            <c:bubble3D val="0"/>
            <c:spPr>
              <a:solidFill>
                <a:schemeClr val="tx1"/>
              </a:solidFill>
              <a:ln w="19050">
                <a:solidFill>
                  <a:schemeClr val="lt1"/>
                </a:solidFill>
              </a:ln>
              <a:effectLst/>
            </c:spPr>
            <c:extLst>
              <c:ext xmlns:c16="http://schemas.microsoft.com/office/drawing/2014/chart" uri="{C3380CC4-5D6E-409C-BE32-E72D297353CC}">
                <c16:uniqueId val="{00000007-4B1C-4E77-B534-A7F5B642BF92}"/>
              </c:ext>
            </c:extLst>
          </c:dPt>
          <c:dLbls>
            <c:dLbl>
              <c:idx val="0"/>
              <c:layout>
                <c:manualLayout>
                  <c:x val="0.19801689458315938"/>
                  <c:y val="-0.17948700126732142"/>
                </c:manualLayout>
              </c:layout>
              <c:tx>
                <c:rich>
                  <a:bodyPr/>
                  <a:lstStyle/>
                  <a:p>
                    <a:fld id="{0C96FB7D-4611-4413-A89B-C9595055433E}" type="CATEGORYNAME">
                      <a:rPr lang="en-US" sz="1200" b="1"/>
                      <a:pPr/>
                      <a:t>[CATEGORY NAME]</a:t>
                    </a:fld>
                    <a:endParaRPr lang="en-US" b="1" baseline="0"/>
                  </a:p>
                  <a:p>
                    <a:fld id="{303D148E-BFC3-46AB-9C21-92A08784A688}"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latin typeface="Avenir Next LT Pro" panose="020B0504020202020204" pitchFamily="34" charset="0"/>
                      </a:rPr>
                      <a:t>-íg.</a:t>
                    </a:r>
                    <a:endParaRPr lang="en-US" baseline="0"/>
                  </a:p>
                  <a:p>
                    <a:fld id="{4721F7C8-4257-4D13-A026-1BFE3281E2FD}"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4B1C-4E77-B534-A7F5B642BF92}"/>
                </c:ext>
              </c:extLst>
            </c:dLbl>
            <c:dLbl>
              <c:idx val="1"/>
              <c:layout>
                <c:manualLayout>
                  <c:x val="-0.24776510162855331"/>
                  <c:y val="0.10217874460275432"/>
                </c:manualLayout>
              </c:layout>
              <c:tx>
                <c:rich>
                  <a:bodyPr/>
                  <a:lstStyle/>
                  <a:p>
                    <a:fld id="{C05A445F-D136-4920-AA09-69ED7D03E859}" type="CATEGORYNAME">
                      <a:rPr lang="en-US" sz="1200" b="1"/>
                      <a:pPr/>
                      <a:t>[CATEGORY NAME]</a:t>
                    </a:fld>
                    <a:endParaRPr lang="en-US" b="1" baseline="0"/>
                  </a:p>
                  <a:p>
                    <a:fld id="{CF5FBBD5-8ABA-49AD-AAF7-92A9B5E9941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latin typeface="Avenir Next LT Pro" panose="020B0504020202020204" pitchFamily="34" charset="0"/>
                      </a:rPr>
                      <a:t>-íg.</a:t>
                    </a:r>
                    <a:endParaRPr lang="en-US" baseline="0"/>
                  </a:p>
                  <a:p>
                    <a:fld id="{BF1516B9-1C61-40DF-9582-9B497EE2934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30628947072483098"/>
                      <c:h val="0.21895869449305794"/>
                    </c:manualLayout>
                  </c15:layout>
                  <c15:dlblFieldTable/>
                  <c15:showDataLabelsRange val="0"/>
                </c:ext>
                <c:ext xmlns:c16="http://schemas.microsoft.com/office/drawing/2014/chart" uri="{C3380CC4-5D6E-409C-BE32-E72D297353CC}">
                  <c16:uniqueId val="{00000003-4B1C-4E77-B534-A7F5B642BF92}"/>
                </c:ext>
              </c:extLst>
            </c:dLbl>
            <c:dLbl>
              <c:idx val="2"/>
              <c:layout>
                <c:manualLayout>
                  <c:x val="-0.25582399498671532"/>
                  <c:y val="-1.1997720778813035E-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8BB5AA9-1D4B-4302-A9CF-A34B611161F5}"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D7E9B211-EAED-4DC0-B2FC-27EAED6A513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DD813A6C-C518-4212-B558-56A986BE0D93}"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130722371396874"/>
                      <c:h val="0.18983105754909096"/>
                    </c:manualLayout>
                  </c15:layout>
                  <c15:dlblFieldTable/>
                  <c15:showDataLabelsRange val="0"/>
                </c:ext>
                <c:ext xmlns:c16="http://schemas.microsoft.com/office/drawing/2014/chart" uri="{C3380CC4-5D6E-409C-BE32-E72D297353CC}">
                  <c16:uniqueId val="{00000005-4B1C-4E77-B534-A7F5B642BF92}"/>
                </c:ext>
              </c:extLst>
            </c:dLbl>
            <c:dLbl>
              <c:idx val="3"/>
              <c:layout>
                <c:manualLayout>
                  <c:x val="-0.26960084777497278"/>
                  <c:y val="-0.276284804915446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1B9991A9-CB06-4AF7-B678-95E8521BE08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0EB4674-30C8-4738-8B7C-4BBCAE8E20B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7E0A0E8-BAA5-4785-80EC-47CD579CCD9D}"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4B1C-4E77-B534-A7F5B642BF92}"/>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Emissions'!$E$362:$E$365</c:f>
              <c:strCache>
                <c:ptCount val="4"/>
                <c:pt idx="0">
                  <c:v>Álframleiðsla</c:v>
                </c:pt>
                <c:pt idx="1">
                  <c:v>Kísil- og kísilmálmframleiðsla</c:v>
                </c:pt>
                <c:pt idx="2">
                  <c:v>F-gös (m.a. kælimiðlar)</c:v>
                </c:pt>
                <c:pt idx="3">
                  <c:v>Önnur losun</c:v>
                </c:pt>
              </c:strCache>
            </c:strRef>
          </c:cat>
          <c:val>
            <c:numRef>
              <c:f>'Losun | Emissions'!$F$362:$F$365</c:f>
              <c:numCache>
                <c:formatCode>0</c:formatCode>
                <c:ptCount val="4"/>
                <c:pt idx="0">
                  <c:v>1290.3163042728158</c:v>
                </c:pt>
                <c:pt idx="1">
                  <c:v>384.34514535840748</c:v>
                </c:pt>
                <c:pt idx="2">
                  <c:v>105.65811164441938</c:v>
                </c:pt>
                <c:pt idx="3">
                  <c:v>14.100085963613324</c:v>
                </c:pt>
              </c:numCache>
            </c:numRef>
          </c:val>
          <c:extLst>
            <c:ext xmlns:c16="http://schemas.microsoft.com/office/drawing/2014/chart" uri="{C3380CC4-5D6E-409C-BE32-E72D297353CC}">
              <c16:uniqueId val="{00000008-4B1C-4E77-B534-A7F5B642BF92}"/>
            </c:ext>
          </c:extLst>
        </c:ser>
        <c:dLbls>
          <c:showLegendKey val="0"/>
          <c:showVal val="0"/>
          <c:showCatName val="0"/>
          <c:showSerName val="0"/>
          <c:showPercent val="0"/>
          <c:showBubbleSize val="0"/>
          <c:showLeaderLines val="1"/>
        </c:dLbls>
        <c:firstSliceAng val="29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00489448654694E-2"/>
          <c:y val="3.2025917839422005E-2"/>
          <c:w val="0.70583601631462389"/>
          <c:h val="0.88203733437992593"/>
        </c:manualLayout>
      </c:layout>
      <c:barChart>
        <c:barDir val="col"/>
        <c:grouping val="stacked"/>
        <c:varyColors val="0"/>
        <c:ser>
          <c:idx val="3"/>
          <c:order val="0"/>
          <c:tx>
            <c:v>LULUCF</c:v>
          </c:tx>
          <c:spPr>
            <a:solidFill>
              <a:srgbClr val="68A20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9412-4D45-A768-B54BC7ED720B}"/>
            </c:ext>
          </c:extLst>
        </c:ser>
        <c:ser>
          <c:idx val="0"/>
          <c:order val="1"/>
          <c:tx>
            <c:strRef>
              <c:f>'Talnagögn | Numerical Data'!$G$6</c:f>
              <c:strCache>
                <c:ptCount val="1"/>
                <c:pt idx="0">
                  <c:v>Energy</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9412-4D45-A768-B54BC7ED720B}"/>
            </c:ext>
          </c:extLst>
        </c:ser>
        <c:ser>
          <c:idx val="1"/>
          <c:order val="2"/>
          <c:tx>
            <c:v>IPPU</c:v>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9412-4D45-A768-B54BC7ED720B}"/>
            </c:ext>
          </c:extLst>
        </c:ser>
        <c:ser>
          <c:idx val="2"/>
          <c:order val="3"/>
          <c:tx>
            <c:strRef>
              <c:f>'Talnagögn | Numerical Data'!$G$8</c:f>
              <c:strCache>
                <c:ptCount val="1"/>
                <c:pt idx="0">
                  <c:v>Agriculture</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9412-4D45-A768-B54BC7ED720B}"/>
            </c:ext>
          </c:extLst>
        </c:ser>
        <c:ser>
          <c:idx val="4"/>
          <c:order val="4"/>
          <c:tx>
            <c:strRef>
              <c:f>'Talnagögn | Numerical Data'!$G$10</c:f>
              <c:strCache>
                <c:ptCount val="1"/>
                <c:pt idx="0">
                  <c:v>Waste</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9412-4D45-A768-B54BC7ED720B}"/>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Greenhouse Gas Emissions (kt CO</a:t>
                </a:r>
                <a:r>
                  <a:rPr lang="en-US">
                    <a:latin typeface="Aptos Narrow" panose="020B0004020202020204" pitchFamily="34" charset="0"/>
                  </a:rPr>
                  <a:t>₂</a:t>
                </a:r>
                <a:r>
                  <a:rPr lang="en-US"/>
                  <a:t>e)</a:t>
                </a:r>
              </a:p>
            </c:rich>
          </c:tx>
          <c:layout>
            <c:manualLayout>
              <c:xMode val="edge"/>
              <c:yMode val="edge"/>
              <c:x val="1.098429232151613E-3"/>
              <c:y val="0.231852973298133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722153128"/>
        <c:crosses val="autoZero"/>
        <c:crossBetween val="between"/>
      </c:valAx>
      <c:spPr>
        <a:noFill/>
        <a:ln>
          <a:noFill/>
        </a:ln>
        <a:effectLst/>
      </c:spPr>
    </c:plotArea>
    <c:legend>
      <c:legendPos val="r"/>
      <c:layout>
        <c:manualLayout>
          <c:xMode val="edge"/>
          <c:yMode val="edge"/>
          <c:x val="0.82679681320677145"/>
          <c:y val="0.31390809730743874"/>
          <c:w val="0.1120797702014074"/>
          <c:h val="0.375095252461433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27137277412428E-2"/>
          <c:y val="3.2337962962962964E-2"/>
          <c:w val="0.63821833375532344"/>
          <c:h val="0.88088796296296301"/>
        </c:manualLayout>
      </c:layout>
      <c:barChart>
        <c:barDir val="col"/>
        <c:grouping val="stacked"/>
        <c:varyColors val="0"/>
        <c:ser>
          <c:idx val="2"/>
          <c:order val="0"/>
          <c:tx>
            <c:strRef>
              <c:f>'Talnagögn | Numerical Data'!$E$90</c:f>
              <c:strCache>
                <c:ptCount val="1"/>
                <c:pt idx="0">
                  <c:v>Álframleiðsla</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274A-4FF6-91EA-64EE6D6AA711}"/>
            </c:ext>
          </c:extLst>
        </c:ser>
        <c:ser>
          <c:idx val="3"/>
          <c:order val="1"/>
          <c:tx>
            <c:strRef>
              <c:f>'Talnagögn | Numerical Data'!$E$91</c:f>
              <c:strCache>
                <c:ptCount val="1"/>
                <c:pt idx="0">
                  <c:v>Kísil- og kísilmálmframleiðsla</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1-274A-4FF6-91EA-64EE6D6AA711}"/>
            </c:ext>
          </c:extLst>
        </c:ser>
        <c:ser>
          <c:idx val="5"/>
          <c:order val="2"/>
          <c:tx>
            <c:strRef>
              <c:f>'Talnagögn | Numerical Data'!$E$92</c:f>
              <c:strCache>
                <c:ptCount val="1"/>
                <c:pt idx="0">
                  <c:v>F-gös (m.a. kælimiðlar)</c:v>
                </c:pt>
              </c:strCache>
            </c:strRef>
          </c:tx>
          <c:spPr>
            <a:solidFill>
              <a:schemeClr val="accent3">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extLst>
            <c:ext xmlns:c16="http://schemas.microsoft.com/office/drawing/2014/chart" uri="{C3380CC4-5D6E-409C-BE32-E72D297353CC}">
              <c16:uniqueId val="{00000002-274A-4FF6-91EA-64EE6D6AA711}"/>
            </c:ext>
          </c:extLst>
        </c:ser>
        <c:ser>
          <c:idx val="4"/>
          <c:order val="3"/>
          <c:tx>
            <c:strRef>
              <c:f>'Talnagögn | Numerical Data'!$E$93</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xmlns:c15="http://schemas.microsoft.com/office/drawing/2012/chart" uri="{02D57815-91ED-43cb-92C2-25804820EDAC}">
                  <c15:fullRef>
                    <c15:sqref>'Talnagögn | Numerical Data'!$I$93:$AP$93</c15:sqref>
                  </c15:fullRef>
                </c:ext>
              </c:extLst>
              <c:f>'Talnagögn | Numerical Data'!$I$93:$AP$93</c:f>
              <c:numCache>
                <c:formatCode>0</c:formatCode>
                <c:ptCount val="34"/>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numCache>
            </c:numRef>
          </c:val>
          <c:extLst>
            <c:ext xmlns:c16="http://schemas.microsoft.com/office/drawing/2014/chart" uri="{C3380CC4-5D6E-409C-BE32-E72D297353CC}">
              <c16:uniqueId val="{00000003-274A-4FF6-91EA-64EE6D6AA711}"/>
            </c:ext>
          </c:extLst>
        </c:ser>
        <c:dLbls>
          <c:showLegendKey val="0"/>
          <c:showVal val="0"/>
          <c:showCatName val="0"/>
          <c:showSerName val="0"/>
          <c:showPercent val="0"/>
          <c:showBubbleSize val="0"/>
        </c:dLbls>
        <c:gapWidth val="55"/>
        <c:overlap val="100"/>
        <c:axId val="431469392"/>
        <c:axId val="431469752"/>
      </c:bar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420747159095582"/>
          <c:y val="0.35976944444444448"/>
          <c:w val="0.22739268703176971"/>
          <c:h val="0.2863407407407407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3"/>
          <c:order val="0"/>
          <c:tx>
            <c:strRef>
              <c:f>'Talnagögn | Numerical Data'!$E$9</c:f>
              <c:strCache>
                <c:ptCount val="1"/>
                <c:pt idx="0">
                  <c:v>Landnotkun</c:v>
                </c:pt>
              </c:strCache>
            </c:strRef>
          </c:tx>
          <c:spPr>
            <a:solidFill>
              <a:srgbClr val="68A20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ABA0-4322-9773-E094D739C80E}"/>
            </c:ext>
          </c:extLst>
        </c:ser>
        <c:ser>
          <c:idx val="0"/>
          <c:order val="1"/>
          <c:tx>
            <c:strRef>
              <c:f>'Talnagögn | Numerical Data'!$E$6</c:f>
              <c:strCache>
                <c:ptCount val="1"/>
                <c:pt idx="0">
                  <c:v>Orka</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ABA0-4322-9773-E094D739C80E}"/>
            </c:ext>
          </c:extLst>
        </c:ser>
        <c:ser>
          <c:idx val="1"/>
          <c:order val="2"/>
          <c:tx>
            <c:strRef>
              <c:f>'Talnagögn | Numerical Data'!$E$7</c:f>
              <c:strCache>
                <c:ptCount val="1"/>
                <c:pt idx="0">
                  <c:v>Iðnaður og vörunotkun</c:v>
                </c:pt>
              </c:strCache>
            </c:strRef>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ABA0-4322-9773-E094D739C80E}"/>
            </c:ext>
          </c:extLst>
        </c:ser>
        <c:ser>
          <c:idx val="2"/>
          <c:order val="3"/>
          <c:tx>
            <c:strRef>
              <c:f>'Talnagögn | Numerical Data'!$E$8</c:f>
              <c:strCache>
                <c:ptCount val="1"/>
                <c:pt idx="0">
                  <c:v>Landbúnaður</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ABA0-4322-9773-E094D739C80E}"/>
            </c:ext>
          </c:extLst>
        </c:ser>
        <c:ser>
          <c:idx val="4"/>
          <c:order val="4"/>
          <c:tx>
            <c:strRef>
              <c:f>'Talnagögn | Numerical Data'!$E$10</c:f>
              <c:strCache>
                <c:ptCount val="1"/>
                <c:pt idx="0">
                  <c:v>Úrgangur</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ABA0-4322-9773-E094D739C80E}"/>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1954871212121212"/>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49208103344985"/>
          <c:y val="6.8300367180625307E-2"/>
          <c:w val="0.44816270505670702"/>
          <c:h val="0.85397282009785402"/>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4881-4886-AD98-34F7DB5D61DB}"/>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4881-4886-AD98-34F7DB5D61DB}"/>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4881-4886-AD98-34F7DB5D61DB}"/>
              </c:ext>
            </c:extLst>
          </c:dPt>
          <c:dPt>
            <c:idx val="3"/>
            <c:bubble3D val="0"/>
            <c:spPr>
              <a:solidFill>
                <a:srgbClr val="68A200"/>
              </a:solidFill>
              <a:ln w="19050">
                <a:solidFill>
                  <a:schemeClr val="lt1"/>
                </a:solidFill>
              </a:ln>
              <a:effectLst/>
            </c:spPr>
            <c:extLst>
              <c:ext xmlns:c16="http://schemas.microsoft.com/office/drawing/2014/chart" uri="{C3380CC4-5D6E-409C-BE32-E72D297353CC}">
                <c16:uniqueId val="{00000007-4881-4886-AD98-34F7DB5D61DB}"/>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4881-4886-AD98-34F7DB5D61DB}"/>
              </c:ext>
            </c:extLst>
          </c:dPt>
          <c:dLbls>
            <c:dLbl>
              <c:idx val="0"/>
              <c:layout>
                <c:manualLayout>
                  <c:x val="-0.24472823824976969"/>
                  <c:y val="4.8125826356291368E-2"/>
                </c:manualLayout>
              </c:layout>
              <c:tx>
                <c:rich>
                  <a:bodyPr/>
                  <a:lstStyle/>
                  <a:p>
                    <a:fld id="{FDD57418-BDD3-4A8F-8EF0-0633711237CF}" type="CATEGORYNAME">
                      <a:rPr lang="en-US" sz="1200" b="1"/>
                      <a:pPr/>
                      <a:t>[CATEGORY NAME]</a:t>
                    </a:fld>
                    <a:r>
                      <a:rPr lang="en-US" baseline="0"/>
                      <a:t>
</a:t>
                    </a:r>
                    <a:fld id="{83E65AE0-A292-44BE-815C-4297996BC2A6}" type="VALUE">
                      <a:rPr lang="en-US" sz="1000" baseline="0"/>
                      <a:pPr/>
                      <a:t>[VALUE]</a:t>
                    </a:fld>
                    <a:r>
                      <a:rPr lang="en-US" sz="1000" baseline="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baseline="0"/>
                      <a:t>
</a:t>
                    </a:r>
                    <a:fld id="{A9EA2292-6204-4278-A742-C0DC2D3ED94D}"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443117265800206"/>
                      <c:h val="0.18014494398480524"/>
                    </c:manualLayout>
                  </c15:layout>
                  <c15:dlblFieldTable/>
                  <c15:showDataLabelsRange val="0"/>
                </c:ext>
                <c:ext xmlns:c16="http://schemas.microsoft.com/office/drawing/2014/chart" uri="{C3380CC4-5D6E-409C-BE32-E72D297353CC}">
                  <c16:uniqueId val="{00000001-4881-4886-AD98-34F7DB5D61DB}"/>
                </c:ext>
              </c:extLst>
            </c:dLbl>
            <c:dLbl>
              <c:idx val="1"/>
              <c:layout>
                <c:manualLayout>
                  <c:x val="-0.21632379957723721"/>
                  <c:y val="-3.7449036309719554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C081B4E-E3BC-44AA-8304-C81EA4573251}" type="CATEGORYNAME">
                      <a:rPr lang="en-US" sz="1200" b="1"/>
                      <a:pPr>
                        <a:defRPr sz="1000"/>
                      </a:pPr>
                      <a:t>[CATEGORY NAME]</a:t>
                    </a:fld>
                    <a:r>
                      <a:rPr lang="en-US" sz="1000"/>
                      <a:t>
</a:t>
                    </a:r>
                    <a:fld id="{B5B0315A-565C-453B-AA84-0568A3DBD7B7}" type="VALUE">
                      <a:rPr lang="en-US" sz="1000"/>
                      <a:pPr>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a:t>
</a:t>
                    </a:r>
                    <a:fld id="{2B618588-BF7B-41B9-9843-8929618E4BDE}" type="PERCENTAGE">
                      <a:rPr lang="en-US" sz="1000"/>
                      <a:pPr>
                        <a:defRPr sz="1000"/>
                      </a:pPr>
                      <a:t>[PERCENTAGE]</a:t>
                    </a:fld>
                    <a:endParaRPr lang="en-US" sz="1000"/>
                  </a:p>
                </c:rich>
              </c:tx>
              <c:spPr>
                <a:noFill/>
                <a:ln w="6350">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18992572006037"/>
                      <c:h val="0.20405628777715373"/>
                    </c:manualLayout>
                  </c15:layout>
                  <c15:dlblFieldTable/>
                  <c15:showDataLabelsRange val="0"/>
                </c:ext>
                <c:ext xmlns:c16="http://schemas.microsoft.com/office/drawing/2014/chart" uri="{C3380CC4-5D6E-409C-BE32-E72D297353CC}">
                  <c16:uniqueId val="{00000003-4881-4886-AD98-34F7DB5D61DB}"/>
                </c:ext>
              </c:extLst>
            </c:dLbl>
            <c:dLbl>
              <c:idx val="2"/>
              <c:layout>
                <c:manualLayout>
                  <c:x val="-0.20763351709731526"/>
                  <c:y val="-0.16395596997906434"/>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4FF67B7C-36B9-4328-94B2-FCF50D53C16D}" type="CATEGORYNAME">
                      <a:rPr lang="en-US" sz="1200" b="1"/>
                      <a:pPr>
                        <a:defRPr sz="1000"/>
                      </a:pPr>
                      <a:t>[CATEGORY NAME]</a:t>
                    </a:fld>
                    <a:r>
                      <a:rPr lang="en-US" sz="1000"/>
                      <a:t>
</a:t>
                    </a:r>
                    <a:fld id="{A653B996-0D56-4670-B106-3715CCE8EBE8}" type="VALUE">
                      <a:rPr lang="en-US" sz="1000"/>
                      <a:pPr>
                        <a:defRPr sz="1000"/>
                      </a:pPr>
                      <a:t>[VALUE]</a:t>
                    </a:fld>
                    <a:r>
                      <a:rPr lang="en-US" sz="1000"/>
                      <a:t> kt CO₂e
</a:t>
                    </a:r>
                    <a:fld id="{2429E722-45C1-4ADF-A307-7F957E76063A}"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932941343017732"/>
                      <c:h val="0.16076322097312881"/>
                    </c:manualLayout>
                  </c15:layout>
                  <c15:dlblFieldTable/>
                  <c15:showDataLabelsRange val="0"/>
                </c:ext>
                <c:ext xmlns:c16="http://schemas.microsoft.com/office/drawing/2014/chart" uri="{C3380CC4-5D6E-409C-BE32-E72D297353CC}">
                  <c16:uniqueId val="{00000005-4881-4886-AD98-34F7DB5D61DB}"/>
                </c:ext>
              </c:extLst>
            </c:dLbl>
            <c:dLbl>
              <c:idx val="3"/>
              <c:layout>
                <c:manualLayout>
                  <c:x val="0.20126726928619496"/>
                  <c:y val="-5.0604268294520156E-3"/>
                </c:manualLayout>
              </c:layout>
              <c:tx>
                <c:rich>
                  <a:bodyPr/>
                  <a:lstStyle/>
                  <a:p>
                    <a:fld id="{35BD04DC-8843-48C2-A6D0-65519F1A6BC5}" type="CATEGORYNAME">
                      <a:rPr lang="en-US" sz="1200" b="1"/>
                      <a:pPr/>
                      <a:t>[CATEGORY NAME]</a:t>
                    </a:fld>
                    <a:r>
                      <a:rPr lang="en-US" sz="1000" baseline="0"/>
                      <a:t>
</a:t>
                    </a:r>
                    <a:fld id="{2E095C5F-A9B6-4A71-B5BD-62FF081C653E}" type="VALUE">
                      <a:rPr lang="en-US" sz="1000" baseline="0"/>
                      <a:pPr/>
                      <a:t>[VALUE]</a:t>
                    </a:fld>
                    <a:r>
                      <a:rPr lang="en-US" sz="1000" baseline="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baseline="0"/>
                      <a:t>
</a:t>
                    </a:r>
                    <a:fld id="{B9C32234-11AA-4E5B-9528-20C690978235}"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071271059634324"/>
                      <c:h val="0.22541035289233188"/>
                    </c:manualLayout>
                  </c15:layout>
                  <c15:dlblFieldTable/>
                  <c15:showDataLabelsRange val="0"/>
                </c:ext>
                <c:ext xmlns:c16="http://schemas.microsoft.com/office/drawing/2014/chart" uri="{C3380CC4-5D6E-409C-BE32-E72D297353CC}">
                  <c16:uniqueId val="{00000007-4881-4886-AD98-34F7DB5D61DB}"/>
                </c:ext>
              </c:extLst>
            </c:dLbl>
            <c:dLbl>
              <c:idx val="4"/>
              <c:layout>
                <c:manualLayout>
                  <c:x val="-0.16623968038318002"/>
                  <c:y val="0.14900012301366197"/>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291D730-0AC8-45C7-A43C-13191D226015}" type="CATEGORYNAME">
                      <a:rPr lang="en-US" sz="1200" b="1"/>
                      <a:pPr>
                        <a:defRPr sz="1000"/>
                      </a:pPr>
                      <a:t>[CATEGORY NAME]</a:t>
                    </a:fld>
                    <a:r>
                      <a:rPr lang="en-US" sz="1000"/>
                      <a:t>
</a:t>
                    </a:r>
                    <a:fld id="{6CB422A1-E55C-4CB9-8392-498D619C2B13}" type="VALUE">
                      <a:rPr lang="en-US" sz="1000"/>
                      <a:pPr>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a:t>
</a:t>
                    </a:r>
                    <a:fld id="{82A63583-BE5F-4D28-8FFE-F26CD27B1A4F}"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803117242376819"/>
                      <c:h val="0.15858571454901196"/>
                    </c:manualLayout>
                  </c15:layout>
                  <c15:dlblFieldTable/>
                  <c15:showDataLabelsRange val="0"/>
                </c:ext>
                <c:ext xmlns:c16="http://schemas.microsoft.com/office/drawing/2014/chart" uri="{C3380CC4-5D6E-409C-BE32-E72D297353CC}">
                  <c16:uniqueId val="{00000009-4881-4886-AD98-34F7DB5D61DB}"/>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Emissions'!$Y$8:$Y$12</c:f>
              <c:strCache>
                <c:ptCount val="5"/>
                <c:pt idx="0">
                  <c:v>Energy</c:v>
                </c:pt>
                <c:pt idx="1">
                  <c:v>Industrial Processes and Product Use</c:v>
                </c:pt>
                <c:pt idx="2">
                  <c:v>Agriculture</c:v>
                </c:pt>
                <c:pt idx="3">
                  <c:v>Land use, Land-Use Change and Forestry (LULUCF)</c:v>
                </c:pt>
                <c:pt idx="4">
                  <c:v>Waste</c:v>
                </c:pt>
              </c:strCache>
            </c:strRef>
          </c:cat>
          <c:val>
            <c:numRef>
              <c:f>'Losun | Emissions'!$F$8:$F$12</c:f>
              <c:numCache>
                <c:formatCode>0</c:formatCode>
                <c:ptCount val="5"/>
                <c:pt idx="0">
                  <c:v>1804.0629487280448</c:v>
                </c:pt>
                <c:pt idx="1">
                  <c:v>1794.4196472392562</c:v>
                </c:pt>
                <c:pt idx="2">
                  <c:v>668.34042724521601</c:v>
                </c:pt>
                <c:pt idx="3">
                  <c:v>6080.3410384327608</c:v>
                </c:pt>
                <c:pt idx="4">
                  <c:v>222.59190359498734</c:v>
                </c:pt>
              </c:numCache>
            </c:numRef>
          </c:val>
          <c:extLst>
            <c:ext xmlns:c16="http://schemas.microsoft.com/office/drawing/2014/chart" uri="{C3380CC4-5D6E-409C-BE32-E72D297353CC}">
              <c16:uniqueId val="{0000000A-4881-4886-AD98-34F7DB5D61DB}"/>
            </c:ext>
          </c:extLst>
        </c:ser>
        <c:dLbls>
          <c:showLegendKey val="0"/>
          <c:showVal val="0"/>
          <c:showCatName val="0"/>
          <c:showSerName val="0"/>
          <c:showPercent val="0"/>
          <c:showBubbleSize val="0"/>
          <c:showLeaderLines val="1"/>
        </c:dLbls>
        <c:firstSliceAng val="209"/>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r>
              <a:rPr lang="is-IS" sz="1200"/>
              <a:t>Excl.</a:t>
            </a:r>
            <a:r>
              <a:rPr lang="is-IS" sz="1200" baseline="0"/>
              <a:t> LULUCF</a:t>
            </a:r>
            <a:endParaRPr lang="is-IS" sz="1200"/>
          </a:p>
        </c:rich>
      </c:tx>
      <c:layout>
        <c:manualLayout>
          <c:xMode val="edge"/>
          <c:yMode val="edge"/>
          <c:x val="0.42989024999955422"/>
          <c:y val="0.54503857757605412"/>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endParaRPr lang="is-IS"/>
        </a:p>
      </c:txPr>
    </c:title>
    <c:autoTitleDeleted val="0"/>
    <c:plotArea>
      <c:layout>
        <c:manualLayout>
          <c:layoutTarget val="inner"/>
          <c:xMode val="edge"/>
          <c:yMode val="edge"/>
          <c:x val="0.25275311001817952"/>
          <c:y val="6.0104604733401727E-2"/>
          <c:w val="0.46433828032525015"/>
          <c:h val="0.83151252292082323"/>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3F3C-43E8-851D-371108A4A8BC}"/>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3F3C-43E8-851D-371108A4A8BC}"/>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3F3C-43E8-851D-371108A4A8BC}"/>
              </c:ext>
            </c:extLst>
          </c:dPt>
          <c:dPt>
            <c:idx val="3"/>
            <c:bubble3D val="0"/>
            <c:spPr>
              <a:solidFill>
                <a:srgbClr val="ED7D31"/>
              </a:solidFill>
              <a:ln w="19050">
                <a:solidFill>
                  <a:schemeClr val="lt1"/>
                </a:solidFill>
              </a:ln>
              <a:effectLst/>
            </c:spPr>
            <c:extLst>
              <c:ext xmlns:c16="http://schemas.microsoft.com/office/drawing/2014/chart" uri="{C3380CC4-5D6E-409C-BE32-E72D297353CC}">
                <c16:uniqueId val="{00000007-3F3C-43E8-851D-371108A4A8BC}"/>
              </c:ext>
            </c:extLst>
          </c:dPt>
          <c:dLbls>
            <c:dLbl>
              <c:idx val="0"/>
              <c:layout>
                <c:manualLayout>
                  <c:x val="-0.32115011613011796"/>
                  <c:y val="8.210337897985119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372E5444-D045-4967-A116-D173F4B5BB92}" type="CATEGORYNAME">
                      <a:rPr lang="en-US" sz="1200" b="1"/>
                      <a:pPr algn="ctr" rtl="0">
                        <a:defRPr sz="1000"/>
                      </a:pPr>
                      <a:t>[CATEGORY NAME]</a:t>
                    </a:fld>
                    <a:endParaRPr lang="en-US" sz="1000" b="1"/>
                  </a:p>
                  <a:p>
                    <a:pPr algn="ctr" rtl="0">
                      <a:defRPr sz="1000"/>
                    </a:pPr>
                    <a:fld id="{2BFA168E-3233-4803-B00B-13990E658939}"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53DBEDAD-EA1B-4659-BBAB-188B0F13124B}"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23216839907443"/>
                      <c:h val="0.17539063308971309"/>
                    </c:manualLayout>
                  </c15:layout>
                  <c15:dlblFieldTable/>
                  <c15:showDataLabelsRange val="0"/>
                </c:ext>
                <c:ext xmlns:c16="http://schemas.microsoft.com/office/drawing/2014/chart" uri="{C3380CC4-5D6E-409C-BE32-E72D297353CC}">
                  <c16:uniqueId val="{00000001-3F3C-43E8-851D-371108A4A8BC}"/>
                </c:ext>
              </c:extLst>
            </c:dLbl>
            <c:dLbl>
              <c:idx val="1"/>
              <c:layout>
                <c:manualLayout>
                  <c:x val="-0.28907752020494365"/>
                  <c:y val="-6.783641363819548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sz="1200" b="1"/>
                      <a:t>Industrial Processes and Product Use</a:t>
                    </a:r>
                  </a:p>
                  <a:p>
                    <a:pPr algn="ctr" rtl="0">
                      <a:defRPr sz="1000"/>
                    </a:pPr>
                    <a:fld id="{46662C37-EEE3-4A28-863E-B3C5E1968145}"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r>
                      <a:rPr lang="en-US" sz="1000" b="0"/>
                      <a:t>42%</a:t>
                    </a:r>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922096354166664"/>
                      <c:h val="0.21376342592592593"/>
                    </c:manualLayout>
                  </c15:layout>
                  <c15:dlblFieldTable/>
                  <c15:showDataLabelsRange val="0"/>
                </c:ext>
                <c:ext xmlns:c16="http://schemas.microsoft.com/office/drawing/2014/chart" uri="{C3380CC4-5D6E-409C-BE32-E72D297353CC}">
                  <c16:uniqueId val="{00000003-3F3C-43E8-851D-371108A4A8BC}"/>
                </c:ext>
              </c:extLst>
            </c:dLbl>
            <c:dLbl>
              <c:idx val="2"/>
              <c:layout>
                <c:manualLayout>
                  <c:x val="0.19534167241381825"/>
                  <c:y val="-0.1347316086863478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006CD64-816C-4A6E-B198-B53272107E6D}" type="CATEGORYNAME">
                      <a:rPr lang="en-US" sz="1200" b="1"/>
                      <a:pPr algn="ctr" rtl="0">
                        <a:defRPr sz="1000"/>
                      </a:pPr>
                      <a:t>[CATEGORY NAME]</a:t>
                    </a:fld>
                    <a:endParaRPr lang="en-US" sz="1000" b="1"/>
                  </a:p>
                  <a:p>
                    <a:pPr algn="ctr" rtl="0">
                      <a:defRPr sz="1000"/>
                    </a:pPr>
                    <a:fld id="{1DE72933-C415-4FDC-933D-900DE58F313E}"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BD3F4A2C-636C-4549-93C3-BB976AF9C64A}"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915952100103958"/>
                      <c:h val="0.17539063308971309"/>
                    </c:manualLayout>
                  </c15:layout>
                  <c15:dlblFieldTable/>
                  <c15:showDataLabelsRange val="0"/>
                </c:ext>
                <c:ext xmlns:c16="http://schemas.microsoft.com/office/drawing/2014/chart" uri="{C3380CC4-5D6E-409C-BE32-E72D297353CC}">
                  <c16:uniqueId val="{00000005-3F3C-43E8-851D-371108A4A8BC}"/>
                </c:ext>
              </c:extLst>
            </c:dLbl>
            <c:dLbl>
              <c:idx val="3"/>
              <c:layout>
                <c:manualLayout>
                  <c:x val="0.20101298102929663"/>
                  <c:y val="0.1910407130599673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AC53C4E-9392-47A7-99CB-0D46ADB08952}" type="CATEGORYNAME">
                      <a:rPr lang="en-US" sz="1200" b="1"/>
                      <a:pPr algn="ctr" rtl="0">
                        <a:defRPr sz="1000"/>
                      </a:pPr>
                      <a:t>[CATEGORY NAME]</a:t>
                    </a:fld>
                    <a:endParaRPr lang="en-US" sz="1000" b="1"/>
                  </a:p>
                  <a:p>
                    <a:pPr algn="ctr" rtl="0">
                      <a:defRPr sz="1000"/>
                    </a:pPr>
                    <a:fld id="{AB88BE49-91BC-4E2F-B159-078A9B5441C7}"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4490BD91-37FD-4D5D-8D9B-6F4A92F526CF}" type="PERCENTAGE">
                      <a:rPr lang="en-US" sz="1000"/>
                      <a:pPr algn="ctr" rtl="0">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99500180069312"/>
                      <c:h val="0.17539063308971309"/>
                    </c:manualLayout>
                  </c15:layout>
                  <c15:dlblFieldTable/>
                  <c15:showDataLabelsRange val="0"/>
                </c:ext>
                <c:ext xmlns:c16="http://schemas.microsoft.com/office/drawing/2014/chart" uri="{C3380CC4-5D6E-409C-BE32-E72D297353CC}">
                  <c16:uniqueId val="{00000007-3F3C-43E8-851D-371108A4A8BC}"/>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Emissions'!$Y$20:$Y$23</c:f>
              <c:strCache>
                <c:ptCount val="4"/>
                <c:pt idx="0">
                  <c:v>Energy</c:v>
                </c:pt>
                <c:pt idx="1">
                  <c:v>Industrial Processes and Product Use</c:v>
                </c:pt>
                <c:pt idx="2">
                  <c:v>Agriculture</c:v>
                </c:pt>
                <c:pt idx="3">
                  <c:v>Waste</c:v>
                </c:pt>
              </c:strCache>
            </c:strRef>
          </c:cat>
          <c:val>
            <c:numRef>
              <c:f>'Losun | Emissions'!$F$20:$F$23</c:f>
              <c:numCache>
                <c:formatCode>0</c:formatCode>
                <c:ptCount val="4"/>
                <c:pt idx="0">
                  <c:v>1804.0629487280448</c:v>
                </c:pt>
                <c:pt idx="1">
                  <c:v>1794.4196472392562</c:v>
                </c:pt>
                <c:pt idx="2">
                  <c:v>668.34042724521601</c:v>
                </c:pt>
                <c:pt idx="3">
                  <c:v>222.59190359498734</c:v>
                </c:pt>
              </c:numCache>
            </c:numRef>
          </c:val>
          <c:extLst>
            <c:ext xmlns:c16="http://schemas.microsoft.com/office/drawing/2014/chart" uri="{C3380CC4-5D6E-409C-BE32-E72D297353CC}">
              <c16:uniqueId val="{00000008-3F3C-43E8-851D-371108A4A8BC}"/>
            </c:ext>
          </c:extLst>
        </c:ser>
        <c:dLbls>
          <c:showLegendKey val="0"/>
          <c:showVal val="0"/>
          <c:showCatName val="0"/>
          <c:showSerName val="0"/>
          <c:showPercent val="0"/>
          <c:showBubbleSize val="0"/>
          <c:showLeaderLines val="1"/>
        </c:dLbls>
        <c:firstSliceAng val="120"/>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is-IS" sz="1200" b="0" baseline="0"/>
              <a:t>án losunar frá</a:t>
            </a:r>
          </a:p>
          <a:p>
            <a:pPr>
              <a:defRPr/>
            </a:pPr>
            <a:r>
              <a:rPr lang="is-IS" sz="1200" b="0" baseline="0"/>
              <a:t>landnotkun</a:t>
            </a:r>
            <a:endParaRPr lang="is-IS" sz="1200" b="0"/>
          </a:p>
        </c:rich>
      </c:tx>
      <c:layout>
        <c:manualLayout>
          <c:xMode val="edge"/>
          <c:yMode val="edge"/>
          <c:x val="0.53995237198546964"/>
          <c:y val="0.53961089501287174"/>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8060039768099213"/>
          <c:y val="0.13654100573750552"/>
          <c:w val="0.43700619492500914"/>
          <c:h val="0.75040303161117428"/>
        </c:manualLayout>
      </c:layout>
      <c:doughnutChart>
        <c:varyColors val="1"/>
        <c:ser>
          <c:idx val="0"/>
          <c:order val="0"/>
          <c:dPt>
            <c:idx val="0"/>
            <c:bubble3D val="0"/>
            <c:spPr>
              <a:solidFill>
                <a:schemeClr val="bg2"/>
              </a:solidFill>
              <a:ln w="19050">
                <a:solidFill>
                  <a:schemeClr val="lt1"/>
                </a:solidFill>
              </a:ln>
              <a:effectLst/>
            </c:spPr>
            <c:extLst>
              <c:ext xmlns:c16="http://schemas.microsoft.com/office/drawing/2014/chart" uri="{C3380CC4-5D6E-409C-BE32-E72D297353CC}">
                <c16:uniqueId val="{00000001-E411-4020-91D2-3FE893339C6A}"/>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E411-4020-91D2-3FE893339C6A}"/>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E411-4020-91D2-3FE893339C6A}"/>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E411-4020-91D2-3FE893339C6A}"/>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E411-4020-91D2-3FE893339C6A}"/>
              </c:ext>
            </c:extLst>
          </c:dPt>
          <c:dPt>
            <c:idx val="5"/>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B-E411-4020-91D2-3FE893339C6A}"/>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E411-4020-91D2-3FE893339C6A}"/>
              </c:ext>
            </c:extLst>
          </c:dPt>
          <c:dPt>
            <c:idx val="7"/>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F-E411-4020-91D2-3FE893339C6A}"/>
              </c:ext>
            </c:extLst>
          </c:dPt>
          <c:dLbls>
            <c:dLbl>
              <c:idx val="0"/>
              <c:layout>
                <c:manualLayout>
                  <c:x val="0.21339652491269787"/>
                  <c:y val="-0.18504140995614468"/>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451E952F-6CE4-4073-AE6D-13BDD66E09B3}"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D915031-0400-4551-94FB-79B05FF4224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22AC36B7-6490-404A-B6B3-C86AA75782B2}"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765985460117876"/>
                      <c:h val="0.1705566299626057"/>
                    </c:manualLayout>
                  </c15:layout>
                  <c15:dlblFieldTable/>
                  <c15:showDataLabelsRange val="0"/>
                </c:ext>
                <c:ext xmlns:c16="http://schemas.microsoft.com/office/drawing/2014/chart" uri="{C3380CC4-5D6E-409C-BE32-E72D297353CC}">
                  <c16:uniqueId val="{00000001-E411-4020-91D2-3FE893339C6A}"/>
                </c:ext>
              </c:extLst>
            </c:dLbl>
            <c:dLbl>
              <c:idx val="1"/>
              <c:layout>
                <c:manualLayout>
                  <c:x val="0.17710509313204451"/>
                  <c:y val="0.1121644066456078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2D13A9EF-5FAA-4B67-8F14-640355573CD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91B62A-0BA8-4534-A750-808D8357750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2852F327-B7F6-406C-96BA-AD96A0AD6B31}"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E411-4020-91D2-3FE893339C6A}"/>
                </c:ext>
              </c:extLst>
            </c:dLbl>
            <c:dLbl>
              <c:idx val="2"/>
              <c:layout>
                <c:manualLayout>
                  <c:x val="-0.16348961293616587"/>
                  <c:y val="0.13501711872437516"/>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08754A4-DC91-4DB7-8056-F09D875CF29C}"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EAE2F38-2CBB-45EF-A8B6-ED7928B7F521}"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73E7152-B510-43CE-96D5-EAFDDBC97C2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132101768487149"/>
                      <c:h val="0.15150092499952153"/>
                    </c:manualLayout>
                  </c15:layout>
                  <c15:dlblFieldTable/>
                  <c15:showDataLabelsRange val="0"/>
                </c:ext>
                <c:ext xmlns:c16="http://schemas.microsoft.com/office/drawing/2014/chart" uri="{C3380CC4-5D6E-409C-BE32-E72D297353CC}">
                  <c16:uniqueId val="{00000005-E411-4020-91D2-3FE893339C6A}"/>
                </c:ext>
              </c:extLst>
            </c:dLbl>
            <c:dLbl>
              <c:idx val="3"/>
              <c:layout>
                <c:manualLayout>
                  <c:x val="-0.192377529522923"/>
                  <c:y val="4.8685204780805208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5E32284A-8F90-4748-B0F5-6F6E58D11B5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2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BF2AFE09-1445-400A-AEA0-466E41B1FC3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C5680EF-1B1A-4EAB-9308-CE113ADB1355}"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526057047496488"/>
                      <c:h val="0.15285885150638992"/>
                    </c:manualLayout>
                  </c15:layout>
                  <c15:dlblFieldTable/>
                  <c15:showDataLabelsRange val="0"/>
                </c:ext>
                <c:ext xmlns:c16="http://schemas.microsoft.com/office/drawing/2014/chart" uri="{C3380CC4-5D6E-409C-BE32-E72D297353CC}">
                  <c16:uniqueId val="{00000007-E411-4020-91D2-3FE893339C6A}"/>
                </c:ext>
              </c:extLst>
            </c:dLbl>
            <c:dLbl>
              <c:idx val="4"/>
              <c:layout>
                <c:manualLayout>
                  <c:x val="-0.24965614799746447"/>
                  <c:y val="3.0805262639680385E-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5046364-EB60-483C-9362-FDF90B078076}"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03A610A-DAC1-419D-87E1-0C3AB5FBACAA}"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444CA717-8CDF-4602-97F9-44AD4C8BAD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30521273513253661"/>
                      <c:h val="0.17673398342208965"/>
                    </c:manualLayout>
                  </c15:layout>
                  <c15:dlblFieldTable/>
                  <c15:showDataLabelsRange val="0"/>
                </c:ext>
                <c:ext xmlns:c16="http://schemas.microsoft.com/office/drawing/2014/chart" uri="{C3380CC4-5D6E-409C-BE32-E72D297353CC}">
                  <c16:uniqueId val="{00000009-E411-4020-91D2-3FE893339C6A}"/>
                </c:ext>
              </c:extLst>
            </c:dLbl>
            <c:dLbl>
              <c:idx val="5"/>
              <c:layout>
                <c:manualLayout>
                  <c:x val="-0.18888321704498234"/>
                  <c:y val="-7.483653115148893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987F407-D89B-4DF9-9255-443CA7320D2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404E2A9-75C5-4C5D-9779-EE35DD91C628}"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A41120A7-69E9-4FE6-B021-7FDF71007CB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E411-4020-91D2-3FE893339C6A}"/>
                </c:ext>
              </c:extLst>
            </c:dLbl>
            <c:dLbl>
              <c:idx val="6"/>
              <c:layout>
                <c:manualLayout>
                  <c:x val="-0.29533877915171552"/>
                  <c:y val="-0.24566825133700074"/>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9CBAC73-3C67-4214-82D5-85367706565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A58D8B4-24A6-49BE-88F0-174A28FF5135}"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C9060AC0-1EA3-4A4F-B3BA-C296C52374BE}"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E411-4020-91D2-3FE893339C6A}"/>
                </c:ext>
              </c:extLst>
            </c:dLbl>
            <c:dLbl>
              <c:idx val="7"/>
              <c:layout>
                <c:manualLayout>
                  <c:x val="-0.11259438594330469"/>
                  <c:y val="-0.18946406752139097"/>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C3B06761-20F1-4716-9B83-22BCD2675194}" type="CATEGORYNAME">
                      <a:rPr lang="en-US" sz="1200" b="1"/>
                      <a:pPr>
                        <a:defRPr sz="1000"/>
                      </a:pPr>
                      <a:t>[CATEGORY NAME]</a:t>
                    </a:fld>
                    <a:endParaRPr lang="en-US" sz="1000" b="1" baseline="0"/>
                  </a:p>
                  <a:p>
                    <a:pPr>
                      <a:defRPr sz="1000"/>
                    </a:pPr>
                    <a:fld id="{EAD98EE4-4514-4DE2-97CA-A23A9814B150}" type="VALUE">
                      <a:rPr lang="en-US" sz="1000"/>
                      <a:pPr>
                        <a:defRPr sz="1000"/>
                      </a:pPr>
                      <a:t>[VALUE]</a:t>
                    </a:fld>
                    <a:r>
                      <a:rPr lang="en-US" sz="1000"/>
                      <a:t> þús.</a:t>
                    </a:r>
                    <a:r>
                      <a:rPr lang="en-US" sz="1000" baseline="0"/>
                      <a:t> tonn CO</a:t>
                    </a:r>
                    <a:r>
                      <a:rPr lang="en-US" sz="1000" baseline="-25000"/>
                      <a:t>2</a:t>
                    </a:r>
                    <a:r>
                      <a:rPr lang="en-US" sz="1000" baseline="0"/>
                      <a:t>-íg.</a:t>
                    </a:r>
                  </a:p>
                  <a:p>
                    <a:pPr>
                      <a:defRPr sz="1000"/>
                    </a:pPr>
                    <a:fld id="{0E7E8CEF-C8A2-41DF-9753-C977B591FE4C}"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F-E411-4020-91D2-3FE893339C6A}"/>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Emissions'!$E$148:$E$155</c:f>
              <c:strCache>
                <c:ptCount val="8"/>
                <c:pt idx="0">
                  <c:v>Álframleiðsla</c:v>
                </c:pt>
                <c:pt idx="1">
                  <c:v>Vegasamgöngur</c:v>
                </c:pt>
                <c:pt idx="2">
                  <c:v>Landbúnaður</c:v>
                </c:pt>
                <c:pt idx="3">
                  <c:v>Fiskiskip</c:v>
                </c:pt>
                <c:pt idx="4">
                  <c:v>Kísil- og kísilmálmframleiðsla</c:v>
                </c:pt>
                <c:pt idx="5">
                  <c:v>Úrgangur</c:v>
                </c:pt>
                <c:pt idx="6">
                  <c:v>Jarðvarmavirkjanir</c:v>
                </c:pt>
                <c:pt idx="7">
                  <c:v>Önnur losun</c:v>
                </c:pt>
              </c:strCache>
            </c:strRef>
          </c:cat>
          <c:val>
            <c:numRef>
              <c:f>'Losun | Emissions'!$F$148:$F$155</c:f>
              <c:numCache>
                <c:formatCode>0</c:formatCode>
                <c:ptCount val="8"/>
                <c:pt idx="0">
                  <c:v>1290.3163042728158</c:v>
                </c:pt>
                <c:pt idx="1">
                  <c:v>917.25938476071508</c:v>
                </c:pt>
                <c:pt idx="2">
                  <c:v>668.34042724521601</c:v>
                </c:pt>
                <c:pt idx="3">
                  <c:v>482.07188977314064</c:v>
                </c:pt>
                <c:pt idx="4">
                  <c:v>384.34514535840748</c:v>
                </c:pt>
                <c:pt idx="5">
                  <c:v>222.59190359498734</c:v>
                </c:pt>
                <c:pt idx="6">
                  <c:v>214.07609476451782</c:v>
                </c:pt>
                <c:pt idx="7">
                  <c:v>310.41377703770377</c:v>
                </c:pt>
              </c:numCache>
            </c:numRef>
          </c:val>
          <c:extLst>
            <c:ext xmlns:c16="http://schemas.microsoft.com/office/drawing/2014/chart" uri="{C3380CC4-5D6E-409C-BE32-E72D297353CC}">
              <c16:uniqueId val="{00000010-E411-4020-91D2-3FE893339C6A}"/>
            </c:ext>
          </c:extLst>
        </c:ser>
        <c:dLbls>
          <c:showLegendKey val="0"/>
          <c:showVal val="0"/>
          <c:showCatName val="0"/>
          <c:showSerName val="0"/>
          <c:showPercent val="0"/>
          <c:showBubbleSize val="0"/>
          <c:showLeaderLines val="1"/>
        </c:dLbls>
        <c:firstSliceAng val="345"/>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53503475920441679"/>
          <c:y val="0.56594492626329362"/>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719731799255066"/>
          <c:y val="0.13072826965943923"/>
          <c:w val="0.43700619492500914"/>
          <c:h val="0.75040303161117428"/>
        </c:manualLayout>
      </c:layout>
      <c:doughnutChart>
        <c:varyColors val="1"/>
        <c:ser>
          <c:idx val="0"/>
          <c:order val="0"/>
          <c:dPt>
            <c:idx val="0"/>
            <c:bubble3D val="0"/>
            <c:spPr>
              <a:solidFill>
                <a:schemeClr val="bg2"/>
              </a:solidFill>
              <a:ln w="19050">
                <a:solidFill>
                  <a:schemeClr val="lt1"/>
                </a:solidFill>
              </a:ln>
              <a:effectLst/>
            </c:spPr>
            <c:extLst>
              <c:ext xmlns:c16="http://schemas.microsoft.com/office/drawing/2014/chart" uri="{C3380CC4-5D6E-409C-BE32-E72D297353CC}">
                <c16:uniqueId val="{00000001-2C96-4040-86E2-666577510F2C}"/>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2C96-4040-86E2-666577510F2C}"/>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2C96-4040-86E2-666577510F2C}"/>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2C96-4040-86E2-666577510F2C}"/>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2C96-4040-86E2-666577510F2C}"/>
              </c:ext>
            </c:extLst>
          </c:dPt>
          <c:dPt>
            <c:idx val="5"/>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B-2C96-4040-86E2-666577510F2C}"/>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2C96-4040-86E2-666577510F2C}"/>
              </c:ext>
            </c:extLst>
          </c:dPt>
          <c:dPt>
            <c:idx val="7"/>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F-2C96-4040-86E2-666577510F2C}"/>
              </c:ext>
            </c:extLst>
          </c:dPt>
          <c:dLbls>
            <c:dLbl>
              <c:idx val="0"/>
              <c:layout>
                <c:manualLayout>
                  <c:x val="0.18598460521429064"/>
                  <c:y val="-0.20726493183905867"/>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451E952F-6CE4-4073-AE6D-13BDD66E09B3}"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D915031-0400-4551-94FB-79B05FF4224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22AC36B7-6490-404A-B6B3-C86AA75782B2}"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35472332379527"/>
                      <c:h val="0.16166720213609137"/>
                    </c:manualLayout>
                  </c15:layout>
                  <c15:dlblFieldTable/>
                  <c15:showDataLabelsRange val="0"/>
                </c:ext>
                <c:ext xmlns:c16="http://schemas.microsoft.com/office/drawing/2014/chart" uri="{C3380CC4-5D6E-409C-BE32-E72D297353CC}">
                  <c16:uniqueId val="{00000001-2C96-4040-86E2-666577510F2C}"/>
                </c:ext>
              </c:extLst>
            </c:dLbl>
            <c:dLbl>
              <c:idx val="1"/>
              <c:layout>
                <c:manualLayout>
                  <c:x val="0.17710509313204451"/>
                  <c:y val="0.1121644066456078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2D13A9EF-5FAA-4B67-8F14-640355573CD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91B62A-0BA8-4534-A750-808D8357750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2852F327-B7F6-406C-96BA-AD96A0AD6B31}"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2C96-4040-86E2-666577510F2C}"/>
                </c:ext>
              </c:extLst>
            </c:dLbl>
            <c:dLbl>
              <c:idx val="2"/>
              <c:layout>
                <c:manualLayout>
                  <c:x val="-0.16348961293616587"/>
                  <c:y val="0.13501711872437516"/>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08754A4-DC91-4DB7-8056-F09D875CF29C}"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EAE2F38-2CBB-45EF-A8B6-ED7928B7F521}"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73E7152-B510-43CE-96D5-EAFDDBC97C2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132101768487149"/>
                      <c:h val="0.15150092499952153"/>
                    </c:manualLayout>
                  </c15:layout>
                  <c15:dlblFieldTable/>
                  <c15:showDataLabelsRange val="0"/>
                </c:ext>
                <c:ext xmlns:c16="http://schemas.microsoft.com/office/drawing/2014/chart" uri="{C3380CC4-5D6E-409C-BE32-E72D297353CC}">
                  <c16:uniqueId val="{00000005-2C96-4040-86E2-666577510F2C}"/>
                </c:ext>
              </c:extLst>
            </c:dLbl>
            <c:dLbl>
              <c:idx val="3"/>
              <c:layout>
                <c:manualLayout>
                  <c:x val="-0.18624223505026052"/>
                  <c:y val="6.7793973472054694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5E32284A-8F90-4748-B0F5-6F6E58D11B5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2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BF2AFE09-1445-400A-AEA0-466E41B1FC3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C5680EF-1B1A-4EAB-9308-CE113ADB1355}"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753115942028986"/>
                      <c:h val="0.19107638888888889"/>
                    </c:manualLayout>
                  </c15:layout>
                  <c15:dlblFieldTable/>
                  <c15:showDataLabelsRange val="0"/>
                </c:ext>
                <c:ext xmlns:c16="http://schemas.microsoft.com/office/drawing/2014/chart" uri="{C3380CC4-5D6E-409C-BE32-E72D297353CC}">
                  <c16:uniqueId val="{00000007-2C96-4040-86E2-666577510F2C}"/>
                </c:ext>
              </c:extLst>
            </c:dLbl>
            <c:dLbl>
              <c:idx val="4"/>
              <c:layout>
                <c:manualLayout>
                  <c:x val="-0.31186757627895229"/>
                  <c:y val="1.0441410747853175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5046364-EB60-483C-9362-FDF90B078076}"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03A610A-DAC1-419D-87E1-0C3AB5FBACAA}" type="VALUE">
                      <a:rPr lang="en-US" sz="1000" b="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444CA717-8CDF-4602-97F9-44AD4C8BAD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542512077294684"/>
                      <c:h val="0.19731273148148151"/>
                    </c:manualLayout>
                  </c15:layout>
                  <c15:dlblFieldTable/>
                  <c15:showDataLabelsRange val="0"/>
                </c:ext>
                <c:ext xmlns:c16="http://schemas.microsoft.com/office/drawing/2014/chart" uri="{C3380CC4-5D6E-409C-BE32-E72D297353CC}">
                  <c16:uniqueId val="{00000009-2C96-4040-86E2-666577510F2C}"/>
                </c:ext>
              </c:extLst>
            </c:dLbl>
            <c:dLbl>
              <c:idx val="5"/>
              <c:layout>
                <c:manualLayout>
                  <c:x val="-0.18888321704498234"/>
                  <c:y val="-7.483653115148893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987F407-D89B-4DF9-9255-443CA7320D2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404E2A9-75C5-4C5D-9779-EE35DD91C628}"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A41120A7-69E9-4FE6-B021-7FDF71007CB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2C96-4040-86E2-666577510F2C}"/>
                </c:ext>
              </c:extLst>
            </c:dLbl>
            <c:dLbl>
              <c:idx val="6"/>
              <c:layout>
                <c:manualLayout>
                  <c:x val="-0.29533877915171552"/>
                  <c:y val="-0.24566825133700074"/>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9CBAC73-3C67-4214-82D5-85367706565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A58D8B4-24A6-49BE-88F0-174A28FF5135}"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C9060AC0-1EA3-4A4F-B3BA-C296C52374BE}"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2C96-4040-86E2-666577510F2C}"/>
                </c:ext>
              </c:extLst>
            </c:dLbl>
            <c:dLbl>
              <c:idx val="7"/>
              <c:layout>
                <c:manualLayout>
                  <c:x val="-0.11259438594330469"/>
                  <c:y val="-0.18946406752139097"/>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3B06761-20F1-4716-9B83-22BCD2675194}"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D98EE4-4514-4DE2-97CA-A23A9814B15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0E7E8CEF-C8A2-41DF-9753-C977B591FE4C}"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F-2C96-4040-86E2-666577510F2C}"/>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Emissions'!$Y$148:$Y$155</c:f>
              <c:strCache>
                <c:ptCount val="8"/>
                <c:pt idx="0">
                  <c:v>Aluminium Production</c:v>
                </c:pt>
                <c:pt idx="1">
                  <c:v>Road Transport</c:v>
                </c:pt>
                <c:pt idx="2">
                  <c:v>Agriculture</c:v>
                </c:pt>
                <c:pt idx="3">
                  <c:v>Fishing</c:v>
                </c:pt>
                <c:pt idx="4">
                  <c:v>Ferrosilicon and Silicon Metal Production</c:v>
                </c:pt>
                <c:pt idx="5">
                  <c:v>Waste</c:v>
                </c:pt>
                <c:pt idx="6">
                  <c:v>Geothermal Energy</c:v>
                </c:pt>
                <c:pt idx="7">
                  <c:v>Other Emissions</c:v>
                </c:pt>
              </c:strCache>
            </c:strRef>
          </c:cat>
          <c:val>
            <c:numRef>
              <c:f>'Losun | Emissions'!$F$148:$F$155</c:f>
              <c:numCache>
                <c:formatCode>0</c:formatCode>
                <c:ptCount val="8"/>
                <c:pt idx="0">
                  <c:v>1290.3163042728158</c:v>
                </c:pt>
                <c:pt idx="1">
                  <c:v>917.25938476071508</c:v>
                </c:pt>
                <c:pt idx="2">
                  <c:v>668.34042724521601</c:v>
                </c:pt>
                <c:pt idx="3">
                  <c:v>482.07188977314064</c:v>
                </c:pt>
                <c:pt idx="4">
                  <c:v>384.34514535840748</c:v>
                </c:pt>
                <c:pt idx="5">
                  <c:v>222.59190359498734</c:v>
                </c:pt>
                <c:pt idx="6">
                  <c:v>214.07609476451782</c:v>
                </c:pt>
                <c:pt idx="7">
                  <c:v>310.41377703770377</c:v>
                </c:pt>
              </c:numCache>
            </c:numRef>
          </c:val>
          <c:extLst>
            <c:ext xmlns:c16="http://schemas.microsoft.com/office/drawing/2014/chart" uri="{C3380CC4-5D6E-409C-BE32-E72D297353CC}">
              <c16:uniqueId val="{00000010-2C96-4040-86E2-666577510F2C}"/>
            </c:ext>
          </c:extLst>
        </c:ser>
        <c:dLbls>
          <c:showLegendKey val="0"/>
          <c:showVal val="0"/>
          <c:showCatName val="0"/>
          <c:showSerName val="0"/>
          <c:showPercent val="0"/>
          <c:showBubbleSize val="0"/>
          <c:showLeaderLines val="1"/>
        </c:dLbls>
        <c:firstSliceAng val="345"/>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5514170105630281"/>
          <c:y val="0.12432523148148149"/>
          <c:w val="0.42249346190456322"/>
          <c:h val="0.77798611111111127"/>
        </c:manualLayout>
      </c:layout>
      <c:doughnutChart>
        <c:varyColors val="1"/>
        <c:ser>
          <c:idx val="0"/>
          <c:order val="0"/>
          <c:spPr>
            <a:solidFill>
              <a:srgbClr val="5E9FE8"/>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9F81-4687-B201-73C7C2D17765}"/>
              </c:ext>
            </c:extLst>
          </c:dPt>
          <c:dPt>
            <c:idx val="1"/>
            <c:bubble3D val="0"/>
            <c:spPr>
              <a:solidFill>
                <a:srgbClr val="5E9FE8"/>
              </a:solidFill>
              <a:ln w="19050">
                <a:solidFill>
                  <a:schemeClr val="lt1"/>
                </a:solidFill>
              </a:ln>
              <a:effectLst/>
            </c:spPr>
            <c:extLst>
              <c:ext xmlns:c16="http://schemas.microsoft.com/office/drawing/2014/chart" uri="{C3380CC4-5D6E-409C-BE32-E72D297353CC}">
                <c16:uniqueId val="{00000003-9F81-4687-B201-73C7C2D17765}"/>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5-9F81-4687-B201-73C7C2D17765}"/>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9F81-4687-B201-73C7C2D17765}"/>
              </c:ext>
            </c:extLst>
          </c:dPt>
          <c:dPt>
            <c:idx val="4"/>
            <c:bubble3D val="0"/>
            <c:spPr>
              <a:solidFill>
                <a:srgbClr val="FFBB8D"/>
              </a:solidFill>
              <a:ln w="19050">
                <a:solidFill>
                  <a:schemeClr val="lt1"/>
                </a:solidFill>
              </a:ln>
              <a:effectLst/>
            </c:spPr>
            <c:extLst>
              <c:ext xmlns:c16="http://schemas.microsoft.com/office/drawing/2014/chart" uri="{C3380CC4-5D6E-409C-BE32-E72D297353CC}">
                <c16:uniqueId val="{00000009-9F81-4687-B201-73C7C2D17765}"/>
              </c:ext>
            </c:extLst>
          </c:dPt>
          <c:dPt>
            <c:idx val="5"/>
            <c:bubble3D val="0"/>
            <c:spPr>
              <a:solidFill>
                <a:schemeClr val="tx2"/>
              </a:solidFill>
              <a:ln w="19050">
                <a:solidFill>
                  <a:schemeClr val="lt1"/>
                </a:solidFill>
              </a:ln>
              <a:effectLst/>
            </c:spPr>
            <c:extLst>
              <c:ext xmlns:c16="http://schemas.microsoft.com/office/drawing/2014/chart" uri="{C3380CC4-5D6E-409C-BE32-E72D297353CC}">
                <c16:uniqueId val="{0000000B-9F81-4687-B201-73C7C2D17765}"/>
              </c:ext>
            </c:extLst>
          </c:dPt>
          <c:dPt>
            <c:idx val="6"/>
            <c:bubble3D val="0"/>
            <c:spPr>
              <a:solidFill>
                <a:schemeClr val="accent3">
                  <a:lumMod val="20000"/>
                  <a:lumOff val="80000"/>
                </a:schemeClr>
              </a:solidFill>
              <a:ln w="19050">
                <a:solidFill>
                  <a:schemeClr val="lt1"/>
                </a:solidFill>
              </a:ln>
              <a:effectLst/>
            </c:spPr>
            <c:extLst>
              <c:ext xmlns:c16="http://schemas.microsoft.com/office/drawing/2014/chart" uri="{C3380CC4-5D6E-409C-BE32-E72D297353CC}">
                <c16:uniqueId val="{0000000D-9F81-4687-B201-73C7C2D17765}"/>
              </c:ext>
            </c:extLst>
          </c:dPt>
          <c:dPt>
            <c:idx val="7"/>
            <c:bubble3D val="0"/>
            <c:spPr>
              <a:solidFill>
                <a:schemeClr val="tx1"/>
              </a:solidFill>
              <a:ln w="19050">
                <a:solidFill>
                  <a:schemeClr val="lt1"/>
                </a:solidFill>
              </a:ln>
              <a:effectLst/>
            </c:spPr>
            <c:extLst>
              <c:ext xmlns:c16="http://schemas.microsoft.com/office/drawing/2014/chart" uri="{C3380CC4-5D6E-409C-BE32-E72D297353CC}">
                <c16:uniqueId val="{0000000F-9F81-4687-B201-73C7C2D17765}"/>
              </c:ext>
            </c:extLst>
          </c:dPt>
          <c:dLbls>
            <c:dLbl>
              <c:idx val="0"/>
              <c:layout>
                <c:manualLayout>
                  <c:x val="0.1580532088585222"/>
                  <c:y val="-0.12641203703703704"/>
                </c:manualLayout>
              </c:layout>
              <c:tx>
                <c:rich>
                  <a:bodyPr/>
                  <a:lstStyle/>
                  <a:p>
                    <a:fld id="{7E0DBF10-4E00-4A56-AAE3-9E27CE8566AB}" type="CATEGORYNAME">
                      <a:rPr lang="en-US" sz="1200" b="1"/>
                      <a:pPr/>
                      <a:t>[CATEGORY NAME]</a:t>
                    </a:fld>
                    <a:r>
                      <a:rPr lang="en-US" baseline="0"/>
                      <a:t>
</a:t>
                    </a:r>
                    <a:fld id="{00FE6896-6149-48B0-83FE-0061D940A45C}" type="VALUE">
                      <a:rPr lang="en-US" baseline="0"/>
                      <a:pPr/>
                      <a:t>[VALUE]</a:t>
                    </a:fld>
                    <a:r>
                      <a:rPr lang="en-US" baseline="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r>
                      <a:rPr lang="en-US" baseline="0"/>
                      <a:t>
</a:t>
                    </a:r>
                    <a:fld id="{811909B0-2D9E-4CDD-BF99-3D409E43948D}" type="PERCENTAGE">
                      <a:rPr lang="en-US" baseline="0"/>
                      <a:pPr/>
                      <a:t>[PERCENTAGE]</a:t>
                    </a:fld>
                    <a:endParaRPr lang="en-US" baseline="0"/>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9F81-4687-B201-73C7C2D17765}"/>
                </c:ext>
              </c:extLst>
            </c:dLbl>
            <c:dLbl>
              <c:idx val="1"/>
              <c:layout>
                <c:manualLayout>
                  <c:x val="0.12506756828104784"/>
                  <c:y val="0.14064583333333311"/>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E991815E-681B-42ED-9624-01FBB04D2D4A}"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5C074B23-5B08-46C9-9EC7-C8B85EDA162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774259D6-FC4D-4D27-A2D5-1F85CC99AB66}" type="PERCENTAGE">
                      <a:rPr lang="en-US" sz="1000"/>
                      <a:pPr>
                        <a:defRPr sz="100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4372973894381788"/>
                      <c:h val="0.1369826388888889"/>
                    </c:manualLayout>
                  </c15:layout>
                  <c15:dlblFieldTable/>
                  <c15:showDataLabelsRange val="0"/>
                </c:ext>
                <c:ext xmlns:c16="http://schemas.microsoft.com/office/drawing/2014/chart" uri="{C3380CC4-5D6E-409C-BE32-E72D297353CC}">
                  <c16:uniqueId val="{00000003-9F81-4687-B201-73C7C2D17765}"/>
                </c:ext>
              </c:extLst>
            </c:dLbl>
            <c:dLbl>
              <c:idx val="2"/>
              <c:layout>
                <c:manualLayout>
                  <c:x val="-0.2252296567305048"/>
                  <c:y val="0.20596990740740731"/>
                </c:manualLayout>
              </c:layout>
              <c:tx>
                <c:rich>
                  <a:bodyPr/>
                  <a:lstStyle/>
                  <a:p>
                    <a:r>
                      <a:rPr lang="en-US" sz="1200" b="1"/>
                      <a:t>Geothermal Energy</a:t>
                    </a:r>
                  </a:p>
                  <a:p>
                    <a:r>
                      <a:rPr lang="en-US" sz="1100" b="0"/>
                      <a:t>190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200" b="1"/>
                  </a:p>
                  <a:p>
                    <a:r>
                      <a:rPr lang="en-US" sz="1100" b="0"/>
                      <a:t>11%</a:t>
                    </a:r>
                    <a:endParaRPr lang="en-US" sz="1050" b="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0177711493119474"/>
                      <c:h val="0.17120787037037036"/>
                    </c:manualLayout>
                  </c15:layout>
                  <c15:showDataLabelsRange val="0"/>
                </c:ext>
                <c:ext xmlns:c16="http://schemas.microsoft.com/office/drawing/2014/chart" uri="{C3380CC4-5D6E-409C-BE32-E72D297353CC}">
                  <c16:uniqueId val="{00000005-9F81-4687-B201-73C7C2D17765}"/>
                </c:ext>
              </c:extLst>
            </c:dLbl>
            <c:dLbl>
              <c:idx val="3"/>
              <c:layout>
                <c:manualLayout>
                  <c:x val="-0.23300711157729381"/>
                  <c:y val="4.9197106481481484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2F863322-1B3D-447D-9C5B-F5B9DBE6B648}"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70D3F68E-BCFA-4AAA-88B8-02ADF59B487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753792BC-A2CC-4339-A503-B19182FBD55F}"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237500936527801"/>
                      <c:h val="0.19966041666666665"/>
                    </c:manualLayout>
                  </c15:layout>
                  <c15:dlblFieldTable/>
                  <c15:showDataLabelsRange val="0"/>
                </c:ext>
                <c:ext xmlns:c16="http://schemas.microsoft.com/office/drawing/2014/chart" uri="{C3380CC4-5D6E-409C-BE32-E72D297353CC}">
                  <c16:uniqueId val="{00000007-9F81-4687-B201-73C7C2D17765}"/>
                </c:ext>
              </c:extLst>
            </c:dLbl>
            <c:dLbl>
              <c:idx val="4"/>
              <c:layout>
                <c:manualLayout>
                  <c:x val="-0.41327695980699231"/>
                  <c:y val="-9.2131944444444447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D6D24293-56B9-4295-829B-BA1EE0FD7EF2}" type="CATEGORYNAME">
                      <a:rPr lang="en-US" sz="1200" b="1"/>
                      <a:pPr>
                        <a:defRPr sz="1000">
                          <a:solidFill>
                            <a:sysClr val="windowText" lastClr="000000"/>
                          </a:solidFill>
                        </a:defRPr>
                      </a:pPr>
                      <a:t>[CATEGORY NAME]</a:t>
                    </a:fld>
                    <a:endParaRPr lang="en-US" sz="1200" b="1" baseline="0"/>
                  </a:p>
                  <a:p>
                    <a:pPr>
                      <a:defRPr sz="1000">
                        <a:solidFill>
                          <a:sysClr val="windowText" lastClr="000000"/>
                        </a:solidFill>
                      </a:defRPr>
                    </a:pPr>
                    <a:fld id="{4E5A6AF6-5CFF-4F6E-A51F-6CB234E78D8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0FA824EF-7390-481F-86CE-6CCBF757990A}"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574759557486212"/>
                      <c:h val="0.19833078703703705"/>
                    </c:manualLayout>
                  </c15:layout>
                  <c15:dlblFieldTable/>
                  <c15:showDataLabelsRange val="0"/>
                </c:ext>
                <c:ext xmlns:c16="http://schemas.microsoft.com/office/drawing/2014/chart" uri="{C3380CC4-5D6E-409C-BE32-E72D297353CC}">
                  <c16:uniqueId val="{00000009-9F81-4687-B201-73C7C2D17765}"/>
                </c:ext>
              </c:extLst>
            </c:dLbl>
            <c:dLbl>
              <c:idx val="5"/>
              <c:layout>
                <c:manualLayout>
                  <c:x val="-0.44095965312518698"/>
                  <c:y val="-0.25614201388888891"/>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93A6EFF-BB30-400D-AE15-F8DC8C2EAAD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F1DD7C5F-DA06-4927-B9A1-8D79A6F8C383}"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E44184AC-C7F6-40EC-B7F0-201623969B0B}"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620837731033238"/>
                      <c:h val="0.18096249999999997"/>
                    </c:manualLayout>
                  </c15:layout>
                  <c15:dlblFieldTable/>
                  <c15:showDataLabelsRange val="0"/>
                </c:ext>
                <c:ext xmlns:c16="http://schemas.microsoft.com/office/drawing/2014/chart" uri="{C3380CC4-5D6E-409C-BE32-E72D297353CC}">
                  <c16:uniqueId val="{0000000B-9F81-4687-B201-73C7C2D17765}"/>
                </c:ext>
              </c:extLst>
            </c:dLbl>
            <c:dLbl>
              <c:idx val="6"/>
              <c:layout>
                <c:manualLayout>
                  <c:x val="-0.26690086985205125"/>
                  <c:y val="-0.3242862268518518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588284BB-67F2-4322-BD22-588DCC77F99C}"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2FCB070A-8073-495C-99E7-3DE139FF16E9}"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15C3C8B3-0A0D-4A5F-841E-2FCF725FC4A4}"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292200194194382"/>
                      <c:h val="0.18314953703703701"/>
                    </c:manualLayout>
                  </c15:layout>
                  <c15:dlblFieldTable/>
                  <c15:showDataLabelsRange val="0"/>
                </c:ext>
                <c:ext xmlns:c16="http://schemas.microsoft.com/office/drawing/2014/chart" uri="{C3380CC4-5D6E-409C-BE32-E72D297353CC}">
                  <c16:uniqueId val="{0000000D-9F81-4687-B201-73C7C2D17765}"/>
                </c:ext>
              </c:extLst>
            </c:dLbl>
            <c:dLbl>
              <c:idx val="7"/>
              <c:layout>
                <c:manualLayout>
                  <c:x val="-5.1515251700960767E-2"/>
                  <c:y val="-0.2801572916666666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9844B9E-3649-4016-BA2C-47199A7AC98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EF542913-9705-43EA-A06A-BBF2D5D0921F}"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D20568A3-7E7C-48CC-8D5E-3E6E5EDE2CB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84568184000937"/>
                      <c:h val="0.14286226851851849"/>
                    </c:manualLayout>
                  </c15:layout>
                  <c15:dlblFieldTable/>
                  <c15:showDataLabelsRange val="0"/>
                </c:ext>
                <c:ext xmlns:c16="http://schemas.microsoft.com/office/drawing/2014/chart" uri="{C3380CC4-5D6E-409C-BE32-E72D297353CC}">
                  <c16:uniqueId val="{0000000F-9F81-4687-B201-73C7C2D17765}"/>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Emissions'!$Y$248:$Y$255</c:f>
              <c:strCache>
                <c:ptCount val="8"/>
                <c:pt idx="0">
                  <c:v>Road Transport</c:v>
                </c:pt>
                <c:pt idx="1">
                  <c:v>Fishing</c:v>
                </c:pt>
                <c:pt idx="2">
                  <c:v>Geothermal Energy</c:v>
                </c:pt>
                <c:pt idx="3">
                  <c:v>Off-Road Vehicles and Other Machinery</c:v>
                </c:pt>
                <c:pt idx="4">
                  <c:v>Fuel Combustion in Stationary Industry</c:v>
                </c:pt>
                <c:pt idx="5">
                  <c:v>Domestic Aviation</c:v>
                </c:pt>
                <c:pt idx="6">
                  <c:v>Domestic Navigation</c:v>
                </c:pt>
                <c:pt idx="7">
                  <c:v>Other Emissions</c:v>
                </c:pt>
              </c:strCache>
            </c:strRef>
          </c:cat>
          <c:val>
            <c:numRef>
              <c:f>'Losun | Emissions'!$F$248:$F$255</c:f>
              <c:numCache>
                <c:formatCode>0</c:formatCode>
                <c:ptCount val="8"/>
                <c:pt idx="0">
                  <c:v>917.25938476071508</c:v>
                </c:pt>
                <c:pt idx="1">
                  <c:v>482.07188977314064</c:v>
                </c:pt>
                <c:pt idx="2">
                  <c:v>214.07609476451782</c:v>
                </c:pt>
                <c:pt idx="3">
                  <c:v>77.003200912657135</c:v>
                </c:pt>
                <c:pt idx="4">
                  <c:v>57.67271537013076</c:v>
                </c:pt>
                <c:pt idx="5">
                  <c:v>19.219314461733333</c:v>
                </c:pt>
                <c:pt idx="6">
                  <c:v>22.342012716758749</c:v>
                </c:pt>
                <c:pt idx="7">
                  <c:v>14.418335968391148</c:v>
                </c:pt>
              </c:numCache>
            </c:numRef>
          </c:val>
          <c:extLst>
            <c:ext xmlns:c16="http://schemas.microsoft.com/office/drawing/2014/chart" uri="{C3380CC4-5D6E-409C-BE32-E72D297353CC}">
              <c16:uniqueId val="{00000010-9F81-4687-B201-73C7C2D17765}"/>
            </c:ext>
          </c:extLst>
        </c:ser>
        <c:dLbls>
          <c:showLegendKey val="0"/>
          <c:showVal val="0"/>
          <c:showCatName val="0"/>
          <c:showSerName val="0"/>
          <c:showPercent val="0"/>
          <c:showBubbleSize val="0"/>
          <c:showLeaderLines val="1"/>
        </c:dLbls>
        <c:firstSliceAng val="296"/>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0.11353564814814815"/>
          <c:w val="0.62672934042624084"/>
          <c:h val="0.79969027777777779"/>
        </c:manualLayout>
      </c:layout>
      <c:barChart>
        <c:barDir val="col"/>
        <c:grouping val="stacked"/>
        <c:varyColors val="0"/>
        <c:ser>
          <c:idx val="1"/>
          <c:order val="0"/>
          <c:tx>
            <c:strRef>
              <c:f>'Talnagögn | Numerical Data'!$G$55</c:f>
              <c:strCache>
                <c:ptCount val="1"/>
                <c:pt idx="0">
                  <c:v>Road Transport</c:v>
                </c:pt>
              </c:strCache>
            </c:strRef>
          </c:tx>
          <c:spPr>
            <a:solidFill>
              <a:schemeClr val="accent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0-DDB0-4C71-82D9-D7F6CC0BCF73}"/>
            </c:ext>
          </c:extLst>
        </c:ser>
        <c:ser>
          <c:idx val="0"/>
          <c:order val="1"/>
          <c:tx>
            <c:strRef>
              <c:f>'Talnagögn | Numerical Data'!$G$54</c:f>
              <c:strCache>
                <c:ptCount val="1"/>
                <c:pt idx="0">
                  <c:v>Fishing</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1-DDB0-4C71-82D9-D7F6CC0BCF73}"/>
            </c:ext>
          </c:extLst>
        </c:ser>
        <c:ser>
          <c:idx val="6"/>
          <c:order val="2"/>
          <c:tx>
            <c:strRef>
              <c:f>'Talnagögn | Numerical Data'!$G$65</c:f>
              <c:strCache>
                <c:ptCount val="1"/>
                <c:pt idx="0">
                  <c:v>Geothermal Energy</c:v>
                </c:pt>
              </c:strCache>
            </c:strRef>
          </c:tx>
          <c:spPr>
            <a:solidFill>
              <a:schemeClr val="accent4">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2-DDB0-4C71-82D9-D7F6CC0BCF73}"/>
            </c:ext>
          </c:extLst>
        </c:ser>
        <c:ser>
          <c:idx val="4"/>
          <c:order val="3"/>
          <c:tx>
            <c:strRef>
              <c:f>'Talnagögn | Numerical Data'!$G$58</c:f>
              <c:strCache>
                <c:ptCount val="1"/>
                <c:pt idx="0">
                  <c:v>Off-Road Vehicles and Other Machinery</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extLst>
            <c:ext xmlns:c16="http://schemas.microsoft.com/office/drawing/2014/chart" uri="{C3380CC4-5D6E-409C-BE32-E72D297353CC}">
              <c16:uniqueId val="{00000003-DDB0-4C71-82D9-D7F6CC0BCF73}"/>
            </c:ext>
          </c:extLst>
        </c:ser>
        <c:ser>
          <c:idx val="5"/>
          <c:order val="4"/>
          <c:tx>
            <c:strRef>
              <c:f>'Talnagögn | Numerical Data'!$G$62</c:f>
              <c:strCache>
                <c:ptCount val="1"/>
                <c:pt idx="0">
                  <c:v>Fuel Combustion in Stationary Industry</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extLst>
            <c:ext xmlns:c16="http://schemas.microsoft.com/office/drawing/2014/chart" uri="{C3380CC4-5D6E-409C-BE32-E72D297353CC}">
              <c16:uniqueId val="{00000004-DDB0-4C71-82D9-D7F6CC0BCF73}"/>
            </c:ext>
          </c:extLst>
        </c:ser>
        <c:ser>
          <c:idx val="2"/>
          <c:order val="5"/>
          <c:tx>
            <c:strRef>
              <c:f>'Talnagögn | Numerical Data'!$G$56</c:f>
              <c:strCache>
                <c:ptCount val="1"/>
                <c:pt idx="0">
                  <c:v>Domestic Aviation</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extLst>
            <c:ext xmlns:c16="http://schemas.microsoft.com/office/drawing/2014/chart" uri="{C3380CC4-5D6E-409C-BE32-E72D297353CC}">
              <c16:uniqueId val="{00000005-DDB0-4C71-82D9-D7F6CC0BCF73}"/>
            </c:ext>
          </c:extLst>
        </c:ser>
        <c:ser>
          <c:idx val="3"/>
          <c:order val="6"/>
          <c:tx>
            <c:strRef>
              <c:f>'Talnagögn | Numerical Data'!$G$57</c:f>
              <c:strCache>
                <c:ptCount val="1"/>
                <c:pt idx="0">
                  <c:v>Domestic Navigation</c:v>
                </c:pt>
              </c:strCache>
            </c:strRef>
          </c:tx>
          <c:spPr>
            <a:solidFill>
              <a:srgbClr val="FFDDD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extLst>
            <c:ext xmlns:c16="http://schemas.microsoft.com/office/drawing/2014/chart" uri="{C3380CC4-5D6E-409C-BE32-E72D297353CC}">
              <c16:uniqueId val="{00000006-DDB0-4C71-82D9-D7F6CC0BCF73}"/>
            </c:ext>
          </c:extLst>
        </c:ser>
        <c:ser>
          <c:idx val="7"/>
          <c:order val="7"/>
          <c:tx>
            <c:strRef>
              <c:f>'Talnagögn | Numerical Data'!$G$66</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extLst>
            <c:ext xmlns:c16="http://schemas.microsoft.com/office/drawing/2014/chart" uri="{C3380CC4-5D6E-409C-BE32-E72D297353CC}">
              <c16:uniqueId val="{00000007-DDB0-4C71-82D9-D7F6CC0BCF73}"/>
            </c:ext>
          </c:extLst>
        </c:ser>
        <c:dLbls>
          <c:showLegendKey val="0"/>
          <c:showVal val="0"/>
          <c:showCatName val="0"/>
          <c:showSerName val="0"/>
          <c:showPercent val="0"/>
          <c:showBubbleSize val="0"/>
        </c:dLbls>
        <c:gapWidth val="55"/>
        <c:overlap val="100"/>
        <c:axId val="993243424"/>
        <c:axId val="439305608"/>
      </c:barChart>
      <c:cat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95969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3015284854099116"/>
          <c:y val="0.21071944444444443"/>
          <c:w val="0.26984715145900878"/>
          <c:h val="0.569741666666666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71703929678944E-2"/>
          <c:y val="3.2337962962962964E-2"/>
          <c:w val="0.64656570048309181"/>
          <c:h val="0.88088796296296301"/>
        </c:manualLayout>
      </c:layout>
      <c:lineChart>
        <c:grouping val="standard"/>
        <c:varyColors val="0"/>
        <c:ser>
          <c:idx val="2"/>
          <c:order val="0"/>
          <c:tx>
            <c:strRef>
              <c:f>'Talnagögn | Numerical Data'!$E$89</c:f>
              <c:strCache>
                <c:ptCount val="1"/>
                <c:pt idx="0">
                  <c:v>Söguleg losun</c:v>
                </c:pt>
              </c:strCache>
            </c:strRef>
          </c:tx>
          <c:spPr>
            <a:ln w="19050" cap="rnd">
              <a:solidFill>
                <a:srgbClr val="B29A33"/>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Data'!$I$99:$AX$99</c:f>
              <c:numCache>
                <c:formatCode>0</c:formatCode>
                <c:ptCount val="42"/>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0-722E-43D4-8F61-5743CEF45262}"/>
            </c:ext>
          </c:extLst>
        </c:ser>
        <c:ser>
          <c:idx val="0"/>
          <c:order val="1"/>
          <c:tx>
            <c:strRef>
              <c:f>'Talnagögn | Numerical Data'!$E$101</c:f>
              <c:strCache>
                <c:ptCount val="1"/>
                <c:pt idx="0">
                  <c:v>Losunarspá: Sviðsmynd byggð á aðgerðum stjórnvalda</c:v>
                </c:pt>
              </c:strCache>
            </c:strRef>
          </c:tx>
          <c:spPr>
            <a:ln w="19050" cap="rnd">
              <a:solidFill>
                <a:srgbClr val="B29A33"/>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Data'!$I$111:$BV$111</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1-722E-43D4-8F61-5743CEF45262}"/>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907043000881711"/>
          <c:y val="0.37696805555555557"/>
          <c:w val="0.2093641915242708"/>
          <c:h val="0.228424999999999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71703929678944E-2"/>
          <c:y val="3.2337962962962964E-2"/>
          <c:w val="0.64043045417755062"/>
          <c:h val="0.88088796296296301"/>
        </c:manualLayout>
      </c:layout>
      <c:lineChart>
        <c:grouping val="standard"/>
        <c:varyColors val="0"/>
        <c:ser>
          <c:idx val="2"/>
          <c:order val="0"/>
          <c:tx>
            <c:strRef>
              <c:f>'Talnagögn | Numerical Data'!$G$89</c:f>
              <c:strCache>
                <c:ptCount val="1"/>
                <c:pt idx="0">
                  <c:v>Historical Emissions</c:v>
                </c:pt>
              </c:strCache>
            </c:strRef>
          </c:tx>
          <c:spPr>
            <a:ln w="28575" cap="rnd">
              <a:solidFill>
                <a:srgbClr val="B29A33"/>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Data'!$I$99:$AX$99</c:f>
              <c:numCache>
                <c:formatCode>0</c:formatCode>
                <c:ptCount val="42"/>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0-2B3A-4E6D-A047-4141C5479842}"/>
            </c:ext>
          </c:extLst>
        </c:ser>
        <c:ser>
          <c:idx val="0"/>
          <c:order val="1"/>
          <c:tx>
            <c:strRef>
              <c:f>'Talnagögn | Numerical Data'!$G$101</c:f>
              <c:strCache>
                <c:ptCount val="1"/>
                <c:pt idx="0">
                  <c:v>Emission Projections: Government Policy-Based Scenario</c:v>
                </c:pt>
              </c:strCache>
            </c:strRef>
          </c:tx>
          <c:spPr>
            <a:ln w="28575" cap="rnd">
              <a:solidFill>
                <a:srgbClr val="B29A33"/>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Data'!$I$111:$BV$111</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1-2B3A-4E6D-A047-4141C5479842}"/>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907043000881711"/>
          <c:y val="0.38872731481481482"/>
          <c:w val="0.23998113498899987"/>
          <c:h val="0.237244444444444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3638952862009868"/>
          <c:h val="0.88088796296296301"/>
        </c:manualLayout>
      </c:layout>
      <c:lineChart>
        <c:grouping val="standard"/>
        <c:varyColors val="0"/>
        <c:ser>
          <c:idx val="2"/>
          <c:order val="0"/>
          <c:tx>
            <c:strRef>
              <c:f>'Talnagögn | Numerical Data'!$G$90</c:f>
              <c:strCache>
                <c:ptCount val="1"/>
                <c:pt idx="0">
                  <c:v>Aluminium Production</c:v>
                </c:pt>
              </c:strCache>
            </c:strRef>
          </c:tx>
          <c:spPr>
            <a:ln w="28575"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Data'!$I$90:$AX$90</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3517-4C14-B321-C1681EB3905E}"/>
            </c:ext>
          </c:extLst>
        </c:ser>
        <c:ser>
          <c:idx val="3"/>
          <c:order val="1"/>
          <c:tx>
            <c:strRef>
              <c:f>'Talnagögn | Numerical Data'!$G$91</c:f>
              <c:strCache>
                <c:ptCount val="1"/>
                <c:pt idx="0">
                  <c:v>Ferrosilicon and Silicon Metal Production</c:v>
                </c:pt>
              </c:strCache>
            </c:strRef>
          </c:tx>
          <c:spPr>
            <a:ln w="28575" cap="rnd">
              <a:solidFill>
                <a:schemeClr val="accent5">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Data'!$I$91:$AX$91</c:f>
              <c:numCache>
                <c:formatCode>0</c:formatCode>
                <c:ptCount val="42"/>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3517-4C14-B321-C1681EB3905E}"/>
            </c:ext>
          </c:extLst>
        </c:ser>
        <c:ser>
          <c:idx val="5"/>
          <c:order val="2"/>
          <c:tx>
            <c:strRef>
              <c:f>'Talnagögn | Numerical Data'!$G$92</c:f>
              <c:strCache>
                <c:ptCount val="1"/>
                <c:pt idx="0">
                  <c:v>F-Gases</c:v>
                </c:pt>
              </c:strCache>
            </c:strRef>
          </c:tx>
          <c:spPr>
            <a:ln w="28575" cap="rnd">
              <a:solidFill>
                <a:schemeClr val="accent3">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Data'!$I$92:$AX$92</c:f>
              <c:numCache>
                <c:formatCode>0.0</c:formatCode>
                <c:ptCount val="42"/>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3517-4C14-B321-C1681EB3905E}"/>
            </c:ext>
          </c:extLst>
        </c:ser>
        <c:ser>
          <c:idx val="4"/>
          <c:order val="3"/>
          <c:tx>
            <c:strRef>
              <c:f>'Talnagögn | Numerical Data'!$G$93</c:f>
              <c:strCache>
                <c:ptCount val="1"/>
                <c:pt idx="0">
                  <c:v>Other Emissions</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Data'!$I$93:$AW$93</c:f>
              <c:numCache>
                <c:formatCode>0</c:formatCode>
                <c:ptCount val="41"/>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3517-4C14-B321-C1681EB3905E}"/>
            </c:ext>
          </c:extLst>
        </c:ser>
        <c:ser>
          <c:idx val="0"/>
          <c:order val="4"/>
          <c:tx>
            <c:v>Ál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Data'!$I$102:$BV$102</c:f>
              <c:numCache>
                <c:formatCode>0</c:formatCode>
                <c:ptCount val="66"/>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4-3517-4C14-B321-C1681EB3905E}"/>
            </c:ext>
          </c:extLst>
        </c:ser>
        <c:ser>
          <c:idx val="1"/>
          <c:order val="5"/>
          <c:tx>
            <c:v>Kísil WEM</c:v>
          </c:tx>
          <c:spPr>
            <a:ln w="19050" cap="rnd">
              <a:solidFill>
                <a:schemeClr val="accent5">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Data'!$I$103:$BV$103</c:f>
              <c:numCache>
                <c:formatCode>0</c:formatCode>
                <c:ptCount val="66"/>
                <c:pt idx="35">
                  <c:v>384.34514535840748</c:v>
                </c:pt>
                <c:pt idx="36">
                  <c:v>391.52482780919246</c:v>
                </c:pt>
                <c:pt idx="37">
                  <c:v>498.96348623655501</c:v>
                </c:pt>
                <c:pt idx="38">
                  <c:v>502.28647226886665</c:v>
                </c:pt>
                <c:pt idx="39">
                  <c:v>502.28647226886665</c:v>
                </c:pt>
                <c:pt idx="40">
                  <c:v>502.28647226886665</c:v>
                </c:pt>
                <c:pt idx="41">
                  <c:v>502.28647226886665</c:v>
                </c:pt>
                <c:pt idx="42">
                  <c:v>502.28647226886665</c:v>
                </c:pt>
                <c:pt idx="43">
                  <c:v>502.28647226886665</c:v>
                </c:pt>
                <c:pt idx="44">
                  <c:v>502.28647226886665</c:v>
                </c:pt>
                <c:pt idx="45">
                  <c:v>502.28647226886665</c:v>
                </c:pt>
                <c:pt idx="46">
                  <c:v>502.28647226886665</c:v>
                </c:pt>
                <c:pt idx="47">
                  <c:v>502.28647226886665</c:v>
                </c:pt>
                <c:pt idx="48">
                  <c:v>502.28647226886665</c:v>
                </c:pt>
                <c:pt idx="49">
                  <c:v>502.28647226886665</c:v>
                </c:pt>
                <c:pt idx="50">
                  <c:v>502.28647226886665</c:v>
                </c:pt>
                <c:pt idx="51">
                  <c:v>502.28647226886665</c:v>
                </c:pt>
                <c:pt idx="52">
                  <c:v>502.28647226886665</c:v>
                </c:pt>
                <c:pt idx="53">
                  <c:v>502.28647226886665</c:v>
                </c:pt>
                <c:pt idx="54">
                  <c:v>502.28647226886665</c:v>
                </c:pt>
                <c:pt idx="55">
                  <c:v>502.28647226886665</c:v>
                </c:pt>
                <c:pt idx="56">
                  <c:v>502.28647226886665</c:v>
                </c:pt>
                <c:pt idx="57">
                  <c:v>502.28647226886665</c:v>
                </c:pt>
                <c:pt idx="58">
                  <c:v>502.28647226886665</c:v>
                </c:pt>
                <c:pt idx="59">
                  <c:v>502.28647226886665</c:v>
                </c:pt>
                <c:pt idx="60">
                  <c:v>502.28647226886665</c:v>
                </c:pt>
                <c:pt idx="61">
                  <c:v>502.28647226886665</c:v>
                </c:pt>
                <c:pt idx="62">
                  <c:v>502.28647226886665</c:v>
                </c:pt>
                <c:pt idx="63">
                  <c:v>502.28647226886665</c:v>
                </c:pt>
                <c:pt idx="64">
                  <c:v>502.28647226886665</c:v>
                </c:pt>
                <c:pt idx="65">
                  <c:v>502.28647226886665</c:v>
                </c:pt>
              </c:numCache>
            </c:numRef>
          </c:val>
          <c:smooth val="0"/>
          <c:extLst>
            <c:ext xmlns:c16="http://schemas.microsoft.com/office/drawing/2014/chart" uri="{C3380CC4-5D6E-409C-BE32-E72D297353CC}">
              <c16:uniqueId val="{00000005-3517-4C14-B321-C1681EB3905E}"/>
            </c:ext>
          </c:extLst>
        </c:ser>
        <c:ser>
          <c:idx val="6"/>
          <c:order val="6"/>
          <c:tx>
            <c:v>F-gös WEM</c:v>
          </c:tx>
          <c:spPr>
            <a:ln w="19050" cap="rnd">
              <a:solidFill>
                <a:schemeClr val="accent3">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Data'!$I$104:$BV$104</c:f>
              <c:numCache>
                <c:formatCode>0</c:formatCode>
                <c:ptCount val="66"/>
                <c:pt idx="35">
                  <c:v>105.65811164441938</c:v>
                </c:pt>
                <c:pt idx="36">
                  <c:v>83.939356753838709</c:v>
                </c:pt>
                <c:pt idx="37">
                  <c:v>89.415585047430667</c:v>
                </c:pt>
                <c:pt idx="38">
                  <c:v>43.40472654430534</c:v>
                </c:pt>
                <c:pt idx="39">
                  <c:v>28.595701920471573</c:v>
                </c:pt>
                <c:pt idx="40">
                  <c:v>35.0234903160204</c:v>
                </c:pt>
                <c:pt idx="41">
                  <c:v>17.253346767164082</c:v>
                </c:pt>
                <c:pt idx="42">
                  <c:v>18.009768312055179</c:v>
                </c:pt>
                <c:pt idx="43">
                  <c:v>24.723980294032209</c:v>
                </c:pt>
                <c:pt idx="44">
                  <c:v>14.28694724185282</c:v>
                </c:pt>
                <c:pt idx="45">
                  <c:v>8.928626854732892</c:v>
                </c:pt>
                <c:pt idx="46">
                  <c:v>9.4331922594709194</c:v>
                </c:pt>
                <c:pt idx="47">
                  <c:v>9.5333161155516493</c:v>
                </c:pt>
                <c:pt idx="48">
                  <c:v>9.5715916183487302</c:v>
                </c:pt>
                <c:pt idx="49">
                  <c:v>9.9802058863014569</c:v>
                </c:pt>
                <c:pt idx="50">
                  <c:v>10.355069313046386</c:v>
                </c:pt>
                <c:pt idx="51">
                  <c:v>10.708405895263525</c:v>
                </c:pt>
                <c:pt idx="52">
                  <c:v>10.805327528923454</c:v>
                </c:pt>
                <c:pt idx="53">
                  <c:v>10.913704570280276</c:v>
                </c:pt>
                <c:pt idx="54">
                  <c:v>10.997738385977007</c:v>
                </c:pt>
                <c:pt idx="55">
                  <c:v>11.06138423454213</c:v>
                </c:pt>
                <c:pt idx="56">
                  <c:v>11.190983630440373</c:v>
                </c:pt>
                <c:pt idx="57">
                  <c:v>11.51212490345165</c:v>
                </c:pt>
                <c:pt idx="58">
                  <c:v>11.29416127575184</c:v>
                </c:pt>
                <c:pt idx="59">
                  <c:v>11.200240169565182</c:v>
                </c:pt>
                <c:pt idx="60">
                  <c:v>11.197445895681135</c:v>
                </c:pt>
                <c:pt idx="61">
                  <c:v>11.042578034809972</c:v>
                </c:pt>
                <c:pt idx="62">
                  <c:v>10.912000717167739</c:v>
                </c:pt>
                <c:pt idx="63">
                  <c:v>10.818690929789394</c:v>
                </c:pt>
                <c:pt idx="64">
                  <c:v>10.774930000739039</c:v>
                </c:pt>
                <c:pt idx="65">
                  <c:v>10.767865370664548</c:v>
                </c:pt>
              </c:numCache>
            </c:numRef>
          </c:val>
          <c:smooth val="0"/>
          <c:extLst>
            <c:ext xmlns:c16="http://schemas.microsoft.com/office/drawing/2014/chart" uri="{C3380CC4-5D6E-409C-BE32-E72D297353CC}">
              <c16:uniqueId val="{00000006-3517-4C14-B321-C1681EB3905E}"/>
            </c:ext>
          </c:extLst>
        </c:ser>
        <c:ser>
          <c:idx val="7"/>
          <c:order val="7"/>
          <c:tx>
            <c:v>Annað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Data'!$I$105:$BV$105</c:f>
              <c:numCache>
                <c:formatCode>0</c:formatCode>
                <c:ptCount val="66"/>
                <c:pt idx="35">
                  <c:v>14.100085963613324</c:v>
                </c:pt>
                <c:pt idx="36">
                  <c:v>12.457258753087707</c:v>
                </c:pt>
                <c:pt idx="37">
                  <c:v>12.933042514187779</c:v>
                </c:pt>
                <c:pt idx="38">
                  <c:v>13.063753849378106</c:v>
                </c:pt>
                <c:pt idx="39">
                  <c:v>13.187485024603006</c:v>
                </c:pt>
                <c:pt idx="40">
                  <c:v>13.302852194648626</c:v>
                </c:pt>
                <c:pt idx="41">
                  <c:v>13.415899296994919</c:v>
                </c:pt>
                <c:pt idx="42">
                  <c:v>13.527838399391985</c:v>
                </c:pt>
                <c:pt idx="43">
                  <c:v>13.635103097539627</c:v>
                </c:pt>
                <c:pt idx="44">
                  <c:v>13.737744572784212</c:v>
                </c:pt>
                <c:pt idx="45">
                  <c:v>13.834464293756255</c:v>
                </c:pt>
                <c:pt idx="46">
                  <c:v>13.919602576492693</c:v>
                </c:pt>
                <c:pt idx="47">
                  <c:v>13.997674454821237</c:v>
                </c:pt>
                <c:pt idx="48">
                  <c:v>14.068020704491673</c:v>
                </c:pt>
                <c:pt idx="49">
                  <c:v>14.133895140904283</c:v>
                </c:pt>
                <c:pt idx="50">
                  <c:v>14.190174602566191</c:v>
                </c:pt>
                <c:pt idx="51">
                  <c:v>14.248225315786167</c:v>
                </c:pt>
                <c:pt idx="52">
                  <c:v>14.305094493319466</c:v>
                </c:pt>
                <c:pt idx="53">
                  <c:v>14.359007293380209</c:v>
                </c:pt>
                <c:pt idx="54">
                  <c:v>14.418187896443584</c:v>
                </c:pt>
                <c:pt idx="55">
                  <c:v>14.481333387474374</c:v>
                </c:pt>
                <c:pt idx="56">
                  <c:v>14.546797201833291</c:v>
                </c:pt>
                <c:pt idx="57">
                  <c:v>14.6138416528891</c:v>
                </c:pt>
                <c:pt idx="58">
                  <c:v>14.685825200136447</c:v>
                </c:pt>
                <c:pt idx="59">
                  <c:v>14.757770996732344</c:v>
                </c:pt>
                <c:pt idx="60">
                  <c:v>14.831124031510264</c:v>
                </c:pt>
                <c:pt idx="61">
                  <c:v>14.909660322956817</c:v>
                </c:pt>
                <c:pt idx="62">
                  <c:v>14.989950438842957</c:v>
                </c:pt>
                <c:pt idx="63">
                  <c:v>15.078137437717061</c:v>
                </c:pt>
                <c:pt idx="64">
                  <c:v>15.177079288555348</c:v>
                </c:pt>
                <c:pt idx="65">
                  <c:v>15.27925300403302</c:v>
                </c:pt>
              </c:numCache>
            </c:numRef>
          </c:val>
          <c:smooth val="0"/>
          <c:extLst>
            <c:ext xmlns:c16="http://schemas.microsoft.com/office/drawing/2014/chart" uri="{C3380CC4-5D6E-409C-BE32-E72D297353CC}">
              <c16:uniqueId val="{00000007-3517-4C14-B321-C1681EB3905E}"/>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046040934991209"/>
          <c:y val="0.2686351851851852"/>
          <c:w val="0.25953959065008791"/>
          <c:h val="0.477236111111111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486896135265702"/>
          <c:h val="0.8754916198981505"/>
        </c:manualLayout>
      </c:layout>
      <c:lineChart>
        <c:grouping val="standard"/>
        <c:varyColors val="0"/>
        <c:ser>
          <c:idx val="1"/>
          <c:order val="0"/>
          <c:tx>
            <c:strRef>
              <c:f>'Talnagögn | Numerical Data'!$E$185</c:f>
              <c:strCache>
                <c:ptCount val="1"/>
                <c:pt idx="0">
                  <c:v>Söguleg losun</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Data'!$I$193:$AX$193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0-D3E0-440C-9EAB-3D336EB68982}"/>
            </c:ext>
          </c:extLst>
        </c:ser>
        <c:ser>
          <c:idx val="5"/>
          <c:order val="1"/>
          <c:tx>
            <c:strRef>
              <c:f>'Talnagögn | Numerical Data'!$E$195</c:f>
              <c:strCache>
                <c:ptCount val="1"/>
                <c:pt idx="0">
                  <c:v>Losunarspá: Sviðsmynd byggð á aðgerðum stjórnvalda</c:v>
                </c:pt>
              </c:strCache>
            </c:strRef>
          </c:tx>
          <c:spPr>
            <a:ln>
              <a:solidFill>
                <a:srgbClr val="855092"/>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Data'!$I$203:$BV$203</c:f>
              <c:numCache>
                <c:formatCode>0</c:formatCode>
                <c:ptCount val="66"/>
                <c:pt idx="33">
                  <c:v>667.46610440740528</c:v>
                </c:pt>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1-D3E0-440C-9EAB-3D336EB6898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4625729349075398"/>
          <c:y val="0.37726157407407407"/>
          <c:w val="0.22476874999999999"/>
          <c:h val="0.2542962962962963"/>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4038425925925918E-2"/>
          <c:w val="0.6373061594202899"/>
          <c:h val="0.83755555555555561"/>
        </c:manualLayout>
      </c:layout>
      <c:barChart>
        <c:barDir val="col"/>
        <c:grouping val="stacked"/>
        <c:varyColors val="0"/>
        <c:ser>
          <c:idx val="0"/>
          <c:order val="0"/>
          <c:tx>
            <c:strRef>
              <c:f>'Talnagögn | Numerical Data'!$E$210</c:f>
              <c:strCache>
                <c:ptCount val="1"/>
                <c:pt idx="0">
                  <c:v>Skógar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C82C-48AD-A9F8-1850A26B4FD5}"/>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C82C-48AD-A9F8-1850A26B4FD5}"/>
            </c:ext>
          </c:extLst>
        </c:ser>
        <c:ser>
          <c:idx val="1"/>
          <c:order val="2"/>
          <c:tx>
            <c:strRef>
              <c:f>'Talnagögn | Numerical Data'!$E$211</c:f>
              <c:strCache>
                <c:ptCount val="1"/>
                <c:pt idx="0">
                  <c:v>Ræktað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C82C-48AD-A9F8-1850A26B4FD5}"/>
            </c:ext>
          </c:extLst>
        </c:ser>
        <c:ser>
          <c:idx val="3"/>
          <c:order val="3"/>
          <c:tx>
            <c:strRef>
              <c:f>'Talnagögn | Numerical Data'!$E$213</c:f>
              <c:strCache>
                <c:ptCount val="1"/>
                <c:pt idx="0">
                  <c:v>Votlendi</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C82C-48AD-A9F8-1850A26B4FD5}"/>
            </c:ext>
          </c:extLst>
        </c:ser>
        <c:ser>
          <c:idx val="5"/>
          <c:order val="4"/>
          <c:tx>
            <c:strRef>
              <c:f>'Talnagögn | Numerical Data'!$E$214</c:f>
              <c:strCache>
                <c:ptCount val="1"/>
                <c:pt idx="0">
                  <c:v>Önnur losun</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C82C-48AD-A9F8-1850A26B4FD5}"/>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7.862726836564771E-4"/>
              <c:y val="0.180189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6178719806763284"/>
          <c:y val="0.3179745370370371"/>
          <c:w val="0.11748621952418496"/>
          <c:h val="0.3552314814814814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62560386473431E-2"/>
          <c:y val="4.1098611111111114E-2"/>
          <c:w val="0.63865374396135255"/>
          <c:h val="0.84049537037037036"/>
        </c:manualLayout>
      </c:layout>
      <c:barChart>
        <c:barDir val="col"/>
        <c:grouping val="stacked"/>
        <c:varyColors val="0"/>
        <c:ser>
          <c:idx val="0"/>
          <c:order val="0"/>
          <c:tx>
            <c:strRef>
              <c:f>'Talnagögn | Numerical Data'!$E$210</c:f>
              <c:strCache>
                <c:ptCount val="1"/>
                <c:pt idx="0">
                  <c:v>Skógar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Data'!$I$210:$AX$210</c15:sqref>
                  </c15:fullRef>
                </c:ext>
              </c:extLst>
              <c:f>'Talnagögn | Numerical Data'!$K$210:$AX$210</c:f>
              <c:numCache>
                <c:formatCode>0</c:formatCode>
                <c:ptCount val="40"/>
                <c:pt idx="0">
                  <c:v>-37.586802227768317</c:v>
                </c:pt>
                <c:pt idx="1">
                  <c:v>-42.997955545587509</c:v>
                </c:pt>
                <c:pt idx="2">
                  <c:v>-46.127436854418868</c:v>
                </c:pt>
                <c:pt idx="3">
                  <c:v>-56.651673031805622</c:v>
                </c:pt>
                <c:pt idx="4">
                  <c:v>-60.764199690409484</c:v>
                </c:pt>
                <c:pt idx="5">
                  <c:v>-67.627059231654727</c:v>
                </c:pt>
                <c:pt idx="6">
                  <c:v>-76.235243305882904</c:v>
                </c:pt>
                <c:pt idx="7">
                  <c:v>-82.800551502352448</c:v>
                </c:pt>
                <c:pt idx="8">
                  <c:v>-94.022041375155837</c:v>
                </c:pt>
                <c:pt idx="9">
                  <c:v>-100.08331361131968</c:v>
                </c:pt>
                <c:pt idx="10">
                  <c:v>-108.9660458624883</c:v>
                </c:pt>
                <c:pt idx="11">
                  <c:v>-119.30777592336456</c:v>
                </c:pt>
                <c:pt idx="12">
                  <c:v>-126.38738018495359</c:v>
                </c:pt>
                <c:pt idx="13">
                  <c:v>-146.23533417008338</c:v>
                </c:pt>
                <c:pt idx="14">
                  <c:v>-153.26012993713954</c:v>
                </c:pt>
                <c:pt idx="15">
                  <c:v>-271.2299744752525</c:v>
                </c:pt>
                <c:pt idx="16">
                  <c:v>-275.51343668427478</c:v>
                </c:pt>
                <c:pt idx="17">
                  <c:v>-288.43675180059307</c:v>
                </c:pt>
                <c:pt idx="18">
                  <c:v>-311.66248287269843</c:v>
                </c:pt>
                <c:pt idx="19">
                  <c:v>-339.33829162326816</c:v>
                </c:pt>
                <c:pt idx="20">
                  <c:v>-349.94447073583871</c:v>
                </c:pt>
                <c:pt idx="21">
                  <c:v>-368.40232096472238</c:v>
                </c:pt>
                <c:pt idx="22">
                  <c:v>-391.24425872539143</c:v>
                </c:pt>
                <c:pt idx="23">
                  <c:v>-416.62145516485214</c:v>
                </c:pt>
                <c:pt idx="24">
                  <c:v>-440.630947883472</c:v>
                </c:pt>
                <c:pt idx="25">
                  <c:v>-479.0867181467512</c:v>
                </c:pt>
                <c:pt idx="26">
                  <c:v>-508.46288133332251</c:v>
                </c:pt>
                <c:pt idx="27">
                  <c:v>-509.99055054524518</c:v>
                </c:pt>
                <c:pt idx="28">
                  <c:v>-513.99765483315161</c:v>
                </c:pt>
                <c:pt idx="29">
                  <c:v>-516.40687686312754</c:v>
                </c:pt>
                <c:pt idx="30">
                  <c:v>-545.81520571972464</c:v>
                </c:pt>
                <c:pt idx="31">
                  <c:v>-536.85907215301847</c:v>
                </c:pt>
                <c:pt idx="32">
                  <c:v>-534.16681294223883</c:v>
                </c:pt>
                <c:pt idx="33">
                  <c:v>-569.03313713696218</c:v>
                </c:pt>
              </c:numCache>
            </c:numRef>
          </c:val>
          <c:extLst>
            <c:ext xmlns:c16="http://schemas.microsoft.com/office/drawing/2014/chart" uri="{C3380CC4-5D6E-409C-BE32-E72D297353CC}">
              <c16:uniqueId val="{00000000-DF90-4111-8DF3-C257AE16A27A}"/>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Data'!$I$212:$AX$212</c15:sqref>
                  </c15:fullRef>
                </c:ext>
              </c:extLst>
              <c:f>'Talnagögn | Numerical Data'!$K$212:$AX$212</c:f>
              <c:numCache>
                <c:formatCode>0</c:formatCode>
                <c:ptCount val="40"/>
                <c:pt idx="0">
                  <c:v>4433.4605626827743</c:v>
                </c:pt>
                <c:pt idx="1">
                  <c:v>4455.7701725608204</c:v>
                </c:pt>
                <c:pt idx="2">
                  <c:v>4456.9532056342005</c:v>
                </c:pt>
                <c:pt idx="3">
                  <c:v>4459.4253259502548</c:v>
                </c:pt>
                <c:pt idx="4">
                  <c:v>4461.9059069481091</c:v>
                </c:pt>
                <c:pt idx="5">
                  <c:v>4471.5133660257616</c:v>
                </c:pt>
                <c:pt idx="6">
                  <c:v>4487.621984796725</c:v>
                </c:pt>
                <c:pt idx="7">
                  <c:v>4509.2314872844554</c:v>
                </c:pt>
                <c:pt idx="8">
                  <c:v>4535.13967618485</c:v>
                </c:pt>
                <c:pt idx="9">
                  <c:v>4558.952162135055</c:v>
                </c:pt>
                <c:pt idx="10">
                  <c:v>4590.8397233479955</c:v>
                </c:pt>
                <c:pt idx="11">
                  <c:v>4604.2888882548923</c:v>
                </c:pt>
                <c:pt idx="12">
                  <c:v>4619.8934962070434</c:v>
                </c:pt>
                <c:pt idx="13">
                  <c:v>4646.6745449617347</c:v>
                </c:pt>
                <c:pt idx="14">
                  <c:v>4709.6447456600163</c:v>
                </c:pt>
                <c:pt idx="15">
                  <c:v>4741.8115370644437</c:v>
                </c:pt>
                <c:pt idx="16">
                  <c:v>4796.998501269155</c:v>
                </c:pt>
                <c:pt idx="17">
                  <c:v>4820.859513330608</c:v>
                </c:pt>
                <c:pt idx="18">
                  <c:v>4833.6412044647068</c:v>
                </c:pt>
                <c:pt idx="19">
                  <c:v>4846.3361301245395</c:v>
                </c:pt>
                <c:pt idx="20">
                  <c:v>4864.8560683788801</c:v>
                </c:pt>
                <c:pt idx="21">
                  <c:v>4884.710479469134</c:v>
                </c:pt>
                <c:pt idx="22">
                  <c:v>4904.0874948131277</c:v>
                </c:pt>
                <c:pt idx="23">
                  <c:v>4921.9080237851422</c:v>
                </c:pt>
                <c:pt idx="24">
                  <c:v>4931.5692132362447</c:v>
                </c:pt>
                <c:pt idx="25">
                  <c:v>4943.9497864089135</c:v>
                </c:pt>
                <c:pt idx="26">
                  <c:v>4963.5918517816626</c:v>
                </c:pt>
                <c:pt idx="27">
                  <c:v>4980.3641393675543</c:v>
                </c:pt>
                <c:pt idx="28">
                  <c:v>4994.7882683210446</c:v>
                </c:pt>
                <c:pt idx="29">
                  <c:v>5002.9875971906304</c:v>
                </c:pt>
                <c:pt idx="30">
                  <c:v>4987.9331553026677</c:v>
                </c:pt>
                <c:pt idx="31">
                  <c:v>5022.5767323179289</c:v>
                </c:pt>
                <c:pt idx="32">
                  <c:v>5040.1354814222104</c:v>
                </c:pt>
                <c:pt idx="33">
                  <c:v>5024.8635353547543</c:v>
                </c:pt>
              </c:numCache>
            </c:numRef>
          </c:val>
          <c:extLst>
            <c:ext xmlns:c16="http://schemas.microsoft.com/office/drawing/2014/chart" uri="{C3380CC4-5D6E-409C-BE32-E72D297353CC}">
              <c16:uniqueId val="{00000001-DF90-4111-8DF3-C257AE16A27A}"/>
            </c:ext>
          </c:extLst>
        </c:ser>
        <c:ser>
          <c:idx val="1"/>
          <c:order val="2"/>
          <c:tx>
            <c:strRef>
              <c:f>'Talnagögn | Numerical Data'!$E$211</c:f>
              <c:strCache>
                <c:ptCount val="1"/>
                <c:pt idx="0">
                  <c:v>Ræktað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Data'!$I$211:$AX$211</c15:sqref>
                  </c15:fullRef>
                </c:ext>
              </c:extLst>
              <c:f>'Talnagögn | Numerical Data'!$K$211:$AX$211</c:f>
              <c:numCache>
                <c:formatCode>0</c:formatCode>
                <c:ptCount val="40"/>
                <c:pt idx="0">
                  <c:v>2217.5995965900706</c:v>
                </c:pt>
                <c:pt idx="1">
                  <c:v>2204.466612896716</c:v>
                </c:pt>
                <c:pt idx="2">
                  <c:v>2191.9656034489844</c:v>
                </c:pt>
                <c:pt idx="3">
                  <c:v>2179.7671908325242</c:v>
                </c:pt>
                <c:pt idx="4">
                  <c:v>2167.2623379753145</c:v>
                </c:pt>
                <c:pt idx="5">
                  <c:v>2154.3495383016484</c:v>
                </c:pt>
                <c:pt idx="6">
                  <c:v>2142.2365067573019</c:v>
                </c:pt>
                <c:pt idx="7">
                  <c:v>2129.9413267304867</c:v>
                </c:pt>
                <c:pt idx="8">
                  <c:v>2118.8291512022861</c:v>
                </c:pt>
                <c:pt idx="9">
                  <c:v>2107.2820967831012</c:v>
                </c:pt>
                <c:pt idx="10">
                  <c:v>2097.0444106642071</c:v>
                </c:pt>
                <c:pt idx="11">
                  <c:v>2086.9995252953163</c:v>
                </c:pt>
                <c:pt idx="12">
                  <c:v>2079.0732311845495</c:v>
                </c:pt>
                <c:pt idx="13">
                  <c:v>2071.1470824709877</c:v>
                </c:pt>
                <c:pt idx="14">
                  <c:v>2063.2521326489423</c:v>
                </c:pt>
                <c:pt idx="15">
                  <c:v>2055.2952194099053</c:v>
                </c:pt>
                <c:pt idx="16">
                  <c:v>2047.369504154949</c:v>
                </c:pt>
                <c:pt idx="17">
                  <c:v>1995.5861041753369</c:v>
                </c:pt>
                <c:pt idx="18">
                  <c:v>1961.9909072066107</c:v>
                </c:pt>
                <c:pt idx="19">
                  <c:v>1928.2361178632752</c:v>
                </c:pt>
                <c:pt idx="20">
                  <c:v>1894.3202395708979</c:v>
                </c:pt>
                <c:pt idx="21">
                  <c:v>1860.2417546047302</c:v>
                </c:pt>
                <c:pt idx="22">
                  <c:v>1825.9991236892802</c:v>
                </c:pt>
                <c:pt idx="23">
                  <c:v>1792.7549377724179</c:v>
                </c:pt>
                <c:pt idx="24">
                  <c:v>1757.3863735670666</c:v>
                </c:pt>
                <c:pt idx="25">
                  <c:v>1722.6472788228957</c:v>
                </c:pt>
                <c:pt idx="26">
                  <c:v>1687.7362017755754</c:v>
                </c:pt>
                <c:pt idx="27">
                  <c:v>1652.6537063184926</c:v>
                </c:pt>
                <c:pt idx="28">
                  <c:v>1617.4425304759459</c:v>
                </c:pt>
                <c:pt idx="29">
                  <c:v>1581.9655092131541</c:v>
                </c:pt>
                <c:pt idx="30">
                  <c:v>1648.3529157048454</c:v>
                </c:pt>
                <c:pt idx="31">
                  <c:v>1634.6762937066721</c:v>
                </c:pt>
                <c:pt idx="32">
                  <c:v>1666.2365169720329</c:v>
                </c:pt>
                <c:pt idx="33">
                  <c:v>1574.5549406841444</c:v>
                </c:pt>
              </c:numCache>
            </c:numRef>
          </c:val>
          <c:extLst>
            <c:ext xmlns:c16="http://schemas.microsoft.com/office/drawing/2014/chart" uri="{C3380CC4-5D6E-409C-BE32-E72D297353CC}">
              <c16:uniqueId val="{00000002-DF90-4111-8DF3-C257AE16A27A}"/>
            </c:ext>
          </c:extLst>
        </c:ser>
        <c:ser>
          <c:idx val="3"/>
          <c:order val="3"/>
          <c:tx>
            <c:strRef>
              <c:f>'Talnagögn | Numerical Data'!$E$213</c:f>
              <c:strCache>
                <c:ptCount val="1"/>
                <c:pt idx="0">
                  <c:v>Votlendi</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Data'!$I$213:$AX$213</c15:sqref>
                  </c15:fullRef>
                </c:ext>
              </c:extLst>
              <c:f>'Talnagögn | Numerical Data'!$K$213:$AX$213</c:f>
              <c:numCache>
                <c:formatCode>0</c:formatCode>
                <c:ptCount val="40"/>
                <c:pt idx="0">
                  <c:v>14.51700899462779</c:v>
                </c:pt>
                <c:pt idx="1">
                  <c:v>14.533232994627792</c:v>
                </c:pt>
                <c:pt idx="2">
                  <c:v>14.55486499462779</c:v>
                </c:pt>
                <c:pt idx="3">
                  <c:v>14.55486499462779</c:v>
                </c:pt>
                <c:pt idx="4">
                  <c:v>18.134003449393777</c:v>
                </c:pt>
                <c:pt idx="5">
                  <c:v>18.196763449393778</c:v>
                </c:pt>
                <c:pt idx="6">
                  <c:v>18.50839606644373</c:v>
                </c:pt>
                <c:pt idx="7">
                  <c:v>18.521961399777062</c:v>
                </c:pt>
                <c:pt idx="8">
                  <c:v>18.521961399777062</c:v>
                </c:pt>
                <c:pt idx="9">
                  <c:v>18.917866399777065</c:v>
                </c:pt>
                <c:pt idx="10">
                  <c:v>19.365522399777063</c:v>
                </c:pt>
                <c:pt idx="11">
                  <c:v>19.552045733110393</c:v>
                </c:pt>
                <c:pt idx="12">
                  <c:v>19.584182399777063</c:v>
                </c:pt>
                <c:pt idx="13">
                  <c:v>19.443936711289375</c:v>
                </c:pt>
                <c:pt idx="14">
                  <c:v>21.607283726639984</c:v>
                </c:pt>
                <c:pt idx="15">
                  <c:v>20.494161746475509</c:v>
                </c:pt>
                <c:pt idx="16">
                  <c:v>20.538561427768151</c:v>
                </c:pt>
                <c:pt idx="17">
                  <c:v>21.029356724496331</c:v>
                </c:pt>
                <c:pt idx="18">
                  <c:v>21.158290146896274</c:v>
                </c:pt>
                <c:pt idx="19">
                  <c:v>15.686390391163</c:v>
                </c:pt>
                <c:pt idx="20">
                  <c:v>15.723695057829669</c:v>
                </c:pt>
                <c:pt idx="21">
                  <c:v>15.804207057829668</c:v>
                </c:pt>
                <c:pt idx="22">
                  <c:v>16.069981783977877</c:v>
                </c:pt>
                <c:pt idx="23">
                  <c:v>16.181055815110266</c:v>
                </c:pt>
                <c:pt idx="24">
                  <c:v>14.727682777528623</c:v>
                </c:pt>
                <c:pt idx="25">
                  <c:v>14.859338689513955</c:v>
                </c:pt>
                <c:pt idx="26">
                  <c:v>14.79376238468563</c:v>
                </c:pt>
                <c:pt idx="27">
                  <c:v>15.279062184685632</c:v>
                </c:pt>
                <c:pt idx="28">
                  <c:v>16.320244942284972</c:v>
                </c:pt>
                <c:pt idx="29">
                  <c:v>16.762905784685628</c:v>
                </c:pt>
                <c:pt idx="30">
                  <c:v>17.110517451352298</c:v>
                </c:pt>
                <c:pt idx="31">
                  <c:v>17.149517784685631</c:v>
                </c:pt>
                <c:pt idx="32">
                  <c:v>17.149632836863301</c:v>
                </c:pt>
                <c:pt idx="33">
                  <c:v>17.192248584685633</c:v>
                </c:pt>
              </c:numCache>
            </c:numRef>
          </c:val>
          <c:extLst>
            <c:ext xmlns:c16="http://schemas.microsoft.com/office/drawing/2014/chart" uri="{C3380CC4-5D6E-409C-BE32-E72D297353CC}">
              <c16:uniqueId val="{00000003-DF90-4111-8DF3-C257AE16A27A}"/>
            </c:ext>
          </c:extLst>
        </c:ser>
        <c:ser>
          <c:idx val="5"/>
          <c:order val="4"/>
          <c:tx>
            <c:strRef>
              <c:f>'Talnagögn | Numerical Data'!$E$214</c:f>
              <c:strCache>
                <c:ptCount val="1"/>
                <c:pt idx="0">
                  <c:v>Önnur losun</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Data'!$I$214:$AX$214</c15:sqref>
                  </c15:fullRef>
                </c:ext>
              </c:extLst>
              <c:f>'Talnagögn | Numerical Data'!$K$214:$AX$214</c:f>
              <c:numCache>
                <c:formatCode>0</c:formatCode>
                <c:ptCount val="40"/>
                <c:pt idx="0">
                  <c:v>35.226540729481712</c:v>
                </c:pt>
                <c:pt idx="1">
                  <c:v>37.536310908859377</c:v>
                </c:pt>
                <c:pt idx="2">
                  <c:v>39.846081088237952</c:v>
                </c:pt>
                <c:pt idx="3">
                  <c:v>42.155851267615617</c:v>
                </c:pt>
                <c:pt idx="4">
                  <c:v>44.466140244847338</c:v>
                </c:pt>
                <c:pt idx="5">
                  <c:v>46.768101654966813</c:v>
                </c:pt>
                <c:pt idx="6">
                  <c:v>49.088573652821651</c:v>
                </c:pt>
                <c:pt idx="7">
                  <c:v>51.395367004097352</c:v>
                </c:pt>
                <c:pt idx="8">
                  <c:v>48.622962430822554</c:v>
                </c:pt>
                <c:pt idx="9">
                  <c:v>50.548104173557476</c:v>
                </c:pt>
                <c:pt idx="10">
                  <c:v>52.470686077544087</c:v>
                </c:pt>
                <c:pt idx="11">
                  <c:v>54.398324141696321</c:v>
                </c:pt>
                <c:pt idx="12">
                  <c:v>56.111717049467188</c:v>
                </c:pt>
                <c:pt idx="13">
                  <c:v>58.034931434498503</c:v>
                </c:pt>
                <c:pt idx="14">
                  <c:v>60.655283053370113</c:v>
                </c:pt>
                <c:pt idx="15">
                  <c:v>61.841899768905023</c:v>
                </c:pt>
                <c:pt idx="16">
                  <c:v>63.979033298383001</c:v>
                </c:pt>
                <c:pt idx="17">
                  <c:v>65.884472147194174</c:v>
                </c:pt>
                <c:pt idx="18">
                  <c:v>50.616807397475895</c:v>
                </c:pt>
                <c:pt idx="19">
                  <c:v>48.945145804827007</c:v>
                </c:pt>
                <c:pt idx="20">
                  <c:v>47.560741841220988</c:v>
                </c:pt>
                <c:pt idx="21">
                  <c:v>46.039473517285842</c:v>
                </c:pt>
                <c:pt idx="22">
                  <c:v>44.42386498198357</c:v>
                </c:pt>
                <c:pt idx="23">
                  <c:v>43.040364019388107</c:v>
                </c:pt>
                <c:pt idx="24">
                  <c:v>41.498367910937304</c:v>
                </c:pt>
                <c:pt idx="25">
                  <c:v>39.919356681763929</c:v>
                </c:pt>
                <c:pt idx="26">
                  <c:v>27.861142249304066</c:v>
                </c:pt>
                <c:pt idx="27">
                  <c:v>25.621925565548736</c:v>
                </c:pt>
                <c:pt idx="28">
                  <c:v>39.735400355536513</c:v>
                </c:pt>
                <c:pt idx="29">
                  <c:v>49.536949132182599</c:v>
                </c:pt>
                <c:pt idx="30">
                  <c:v>22.924044700901504</c:v>
                </c:pt>
                <c:pt idx="31">
                  <c:v>25.005070861629974</c:v>
                </c:pt>
                <c:pt idx="32">
                  <c:v>26.561501825798587</c:v>
                </c:pt>
                <c:pt idx="33">
                  <c:v>32.763450946138619</c:v>
                </c:pt>
              </c:numCache>
            </c:numRef>
          </c:val>
          <c:extLst>
            <c:ext xmlns:c16="http://schemas.microsoft.com/office/drawing/2014/chart" uri="{C3380CC4-5D6E-409C-BE32-E72D297353CC}">
              <c16:uniqueId val="{00000004-DF90-4111-8DF3-C257AE16A27A}"/>
            </c:ext>
          </c:extLst>
        </c:ser>
        <c:ser>
          <c:idx val="4"/>
          <c:order val="5"/>
          <c:tx>
            <c:v>Forestry WEM</c:v>
          </c:tx>
          <c:spPr>
            <a:solidFill>
              <a:srgbClr val="3C7290">
                <a:alpha val="20000"/>
              </a:srgbClr>
            </a:solidFill>
            <a:ln>
              <a:noFill/>
            </a:ln>
            <a:effectLst/>
          </c:spPr>
          <c:invertIfNegative val="0"/>
          <c:dPt>
            <c:idx val="31"/>
            <c:invertIfNegative val="0"/>
            <c:bubble3D val="0"/>
            <c:spPr>
              <a:solidFill>
                <a:srgbClr val="3C7290">
                  <a:alpha val="20000"/>
                </a:srgbClr>
              </a:solidFill>
              <a:ln>
                <a:noFill/>
              </a:ln>
              <a:effectLst/>
            </c:spPr>
            <c:extLst>
              <c:ext xmlns:c16="http://schemas.microsoft.com/office/drawing/2014/chart" uri="{C3380CC4-5D6E-409C-BE32-E72D297353CC}">
                <c16:uniqueId val="{00000006-DF90-4111-8DF3-C257AE16A27A}"/>
              </c:ext>
            </c:extLst>
          </c:dPt>
          <c:dPt>
            <c:idx val="33"/>
            <c:invertIfNegative val="0"/>
            <c:bubble3D val="0"/>
            <c:spPr>
              <a:noFill/>
              <a:ln>
                <a:noFill/>
              </a:ln>
              <a:effectLst/>
            </c:spPr>
            <c:extLst>
              <c:ext xmlns:c16="http://schemas.microsoft.com/office/drawing/2014/chart" uri="{C3380CC4-5D6E-409C-BE32-E72D297353CC}">
                <c16:uniqueId val="{00000003-2066-4AA8-90E0-31E9FC1E26DF}"/>
              </c:ext>
            </c:extLst>
          </c:dPt>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Data'!$I$218:$BV$218</c15:sqref>
                  </c15:fullRef>
                </c:ext>
              </c:extLst>
              <c:f>'Talnagögn | Numerical Data'!$K$218:$BV$218</c:f>
              <c:numCache>
                <c:formatCode>0</c:formatCode>
                <c:ptCount val="64"/>
                <c:pt idx="33">
                  <c:v>-569.03313713696218</c:v>
                </c:pt>
                <c:pt idx="34">
                  <c:v>-607.88738159883576</c:v>
                </c:pt>
                <c:pt idx="35">
                  <c:v>-645.36999498431226</c:v>
                </c:pt>
                <c:pt idx="36">
                  <c:v>-679.37893378488252</c:v>
                </c:pt>
                <c:pt idx="37">
                  <c:v>-714.05461069371995</c:v>
                </c:pt>
                <c:pt idx="38">
                  <c:v>-752.09903438702509</c:v>
                </c:pt>
                <c:pt idx="39">
                  <c:v>-789.80569345516653</c:v>
                </c:pt>
                <c:pt idx="40">
                  <c:v>-826.66010230243569</c:v>
                </c:pt>
                <c:pt idx="41">
                  <c:v>-869.95668522307858</c:v>
                </c:pt>
                <c:pt idx="42">
                  <c:v>-910.98526056819503</c:v>
                </c:pt>
                <c:pt idx="43">
                  <c:v>-948.36229172077776</c:v>
                </c:pt>
                <c:pt idx="44">
                  <c:v>-988.28713278063674</c:v>
                </c:pt>
                <c:pt idx="45">
                  <c:v>-1028.324464626492</c:v>
                </c:pt>
                <c:pt idx="46">
                  <c:v>-1066.7369659405729</c:v>
                </c:pt>
                <c:pt idx="47">
                  <c:v>-1108.0312701916941</c:v>
                </c:pt>
                <c:pt idx="48">
                  <c:v>-1148.2109624656555</c:v>
                </c:pt>
                <c:pt idx="49">
                  <c:v>-1191.6314618479707</c:v>
                </c:pt>
                <c:pt idx="50">
                  <c:v>-1233.3537347775421</c:v>
                </c:pt>
                <c:pt idx="51">
                  <c:v>-1279.0524697967167</c:v>
                </c:pt>
                <c:pt idx="52">
                  <c:v>-1332.5210086059276</c:v>
                </c:pt>
                <c:pt idx="53">
                  <c:v>-1377.5163702847128</c:v>
                </c:pt>
                <c:pt idx="54">
                  <c:v>-1435.0245260504175</c:v>
                </c:pt>
                <c:pt idx="55">
                  <c:v>-1491.5272093328688</c:v>
                </c:pt>
                <c:pt idx="56">
                  <c:v>-1544.4247782579375</c:v>
                </c:pt>
                <c:pt idx="57">
                  <c:v>-1597.0856801245097</c:v>
                </c:pt>
                <c:pt idx="58">
                  <c:v>-1651.2351492616906</c:v>
                </c:pt>
                <c:pt idx="59">
                  <c:v>-1710.016971790511</c:v>
                </c:pt>
                <c:pt idx="60">
                  <c:v>-1762.4804915476409</c:v>
                </c:pt>
                <c:pt idx="61">
                  <c:v>-1818.8844526584987</c:v>
                </c:pt>
                <c:pt idx="62">
                  <c:v>-1879.1976143178231</c:v>
                </c:pt>
                <c:pt idx="63">
                  <c:v>-1935.487645372772</c:v>
                </c:pt>
              </c:numCache>
            </c:numRef>
          </c:val>
          <c:extLst>
            <c:ext xmlns:c16="http://schemas.microsoft.com/office/drawing/2014/chart" uri="{C3380CC4-5D6E-409C-BE32-E72D297353CC}">
              <c16:uniqueId val="{00000007-DF90-4111-8DF3-C257AE16A27A}"/>
            </c:ext>
          </c:extLst>
        </c:ser>
        <c:ser>
          <c:idx val="7"/>
          <c:order val="6"/>
          <c:tx>
            <c:v>Mólendi WEM</c:v>
          </c:tx>
          <c:spPr>
            <a:solidFill>
              <a:srgbClr val="66D7C7">
                <a:alpha val="30196"/>
              </a:srgbClr>
            </a:solidFill>
            <a:ln>
              <a:noFill/>
            </a:ln>
            <a:effectLst/>
          </c:spPr>
          <c:invertIfNegative val="0"/>
          <c:dPt>
            <c:idx val="31"/>
            <c:invertIfNegative val="0"/>
            <c:bubble3D val="0"/>
            <c:spPr>
              <a:solidFill>
                <a:srgbClr val="66D7C7">
                  <a:alpha val="30196"/>
                </a:srgbClr>
              </a:solidFill>
              <a:ln>
                <a:noFill/>
              </a:ln>
              <a:effectLst/>
            </c:spPr>
            <c:extLst>
              <c:ext xmlns:c16="http://schemas.microsoft.com/office/drawing/2014/chart" uri="{C3380CC4-5D6E-409C-BE32-E72D297353CC}">
                <c16:uniqueId val="{00000009-DF90-4111-8DF3-C257AE16A27A}"/>
              </c:ext>
            </c:extLst>
          </c:dPt>
          <c:dPt>
            <c:idx val="33"/>
            <c:invertIfNegative val="0"/>
            <c:bubble3D val="0"/>
            <c:spPr>
              <a:noFill/>
              <a:ln>
                <a:noFill/>
              </a:ln>
              <a:effectLst/>
            </c:spPr>
            <c:extLst>
              <c:ext xmlns:c16="http://schemas.microsoft.com/office/drawing/2014/chart" uri="{C3380CC4-5D6E-409C-BE32-E72D297353CC}">
                <c16:uniqueId val="{00000007-2066-4AA8-90E0-31E9FC1E26DF}"/>
              </c:ext>
            </c:extLst>
          </c:dPt>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Data'!$I$220:$BV$220</c15:sqref>
                  </c15:fullRef>
                </c:ext>
              </c:extLst>
              <c:f>'Talnagögn | Numerical Data'!$K$220:$BV$220</c:f>
              <c:numCache>
                <c:formatCode>0</c:formatCode>
                <c:ptCount val="64"/>
                <c:pt idx="33">
                  <c:v>5024.8635353547543</c:v>
                </c:pt>
                <c:pt idx="34">
                  <c:v>4932.5260528629406</c:v>
                </c:pt>
                <c:pt idx="35">
                  <c:v>4842.022162207667</c:v>
                </c:pt>
                <c:pt idx="36">
                  <c:v>4751.8915931453566</c:v>
                </c:pt>
                <c:pt idx="37">
                  <c:v>4666.4532662077181</c:v>
                </c:pt>
                <c:pt idx="38">
                  <c:v>4583.2610903491659</c:v>
                </c:pt>
                <c:pt idx="39">
                  <c:v>4554.4854009525452</c:v>
                </c:pt>
                <c:pt idx="40">
                  <c:v>4526.5349021112925</c:v>
                </c:pt>
                <c:pt idx="41">
                  <c:v>4502.3123934504747</c:v>
                </c:pt>
                <c:pt idx="42">
                  <c:v>4483.9135413600461</c:v>
                </c:pt>
                <c:pt idx="43">
                  <c:v>4471.6870754085439</c:v>
                </c:pt>
                <c:pt idx="44">
                  <c:v>4459.4573845531386</c:v>
                </c:pt>
                <c:pt idx="45">
                  <c:v>4480.5528309636366</c:v>
                </c:pt>
                <c:pt idx="46">
                  <c:v>4467.3651974799568</c:v>
                </c:pt>
                <c:pt idx="47">
                  <c:v>4454.2325430684014</c:v>
                </c:pt>
                <c:pt idx="48">
                  <c:v>4441.4207836901014</c:v>
                </c:pt>
                <c:pt idx="49">
                  <c:v>4420.9927217653649</c:v>
                </c:pt>
                <c:pt idx="50">
                  <c:v>4390.3978962480032</c:v>
                </c:pt>
                <c:pt idx="51">
                  <c:v>4364.264904006508</c:v>
                </c:pt>
                <c:pt idx="52">
                  <c:v>4338.2417875516676</c:v>
                </c:pt>
                <c:pt idx="53">
                  <c:v>4308.3920693861883</c:v>
                </c:pt>
                <c:pt idx="54">
                  <c:v>4278.2201918673882</c:v>
                </c:pt>
                <c:pt idx="55">
                  <c:v>4247.6356528945189</c:v>
                </c:pt>
                <c:pt idx="56">
                  <c:v>4217.733676947033</c:v>
                </c:pt>
                <c:pt idx="57">
                  <c:v>4186.2915625906689</c:v>
                </c:pt>
                <c:pt idx="58">
                  <c:v>4149.2501920298546</c:v>
                </c:pt>
                <c:pt idx="59">
                  <c:v>4112.8060655036788</c:v>
                </c:pt>
                <c:pt idx="60">
                  <c:v>4078.1683113845343</c:v>
                </c:pt>
                <c:pt idx="61">
                  <c:v>4041.8386234828918</c:v>
                </c:pt>
                <c:pt idx="62">
                  <c:v>4008.8901470312726</c:v>
                </c:pt>
                <c:pt idx="63">
                  <c:v>3977.9904343734015</c:v>
                </c:pt>
              </c:numCache>
            </c:numRef>
          </c:val>
          <c:extLst>
            <c:ext xmlns:c16="http://schemas.microsoft.com/office/drawing/2014/chart" uri="{C3380CC4-5D6E-409C-BE32-E72D297353CC}">
              <c16:uniqueId val="{0000000A-DF90-4111-8DF3-C257AE16A27A}"/>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Data'!$I$219:$BV$219</c15:sqref>
                  </c15:fullRef>
                </c:ext>
              </c:extLst>
              <c:f>'Talnagögn | Numerical Data'!$K$219:$BV$219</c:f>
              <c:numCache>
                <c:formatCode>0</c:formatCode>
                <c:ptCount val="64"/>
                <c:pt idx="33">
                  <c:v>1574.5549406841444</c:v>
                </c:pt>
                <c:pt idx="34">
                  <c:v>1586.4616951439084</c:v>
                </c:pt>
                <c:pt idx="35">
                  <c:v>1586.383175889762</c:v>
                </c:pt>
                <c:pt idx="36">
                  <c:v>1586.3048742539411</c:v>
                </c:pt>
                <c:pt idx="37">
                  <c:v>1586.7719352788508</c:v>
                </c:pt>
                <c:pt idx="38">
                  <c:v>1587.2392129366028</c:v>
                </c:pt>
                <c:pt idx="39">
                  <c:v>1587.7067067369642</c:v>
                </c:pt>
                <c:pt idx="40">
                  <c:v>1588.174416191363</c:v>
                </c:pt>
                <c:pt idx="41">
                  <c:v>1588.6423408128824</c:v>
                </c:pt>
                <c:pt idx="42">
                  <c:v>1589.1104801162537</c:v>
                </c:pt>
                <c:pt idx="43">
                  <c:v>1590.8460198998769</c:v>
                </c:pt>
                <c:pt idx="44">
                  <c:v>1590.4085507931536</c:v>
                </c:pt>
                <c:pt idx="45">
                  <c:v>1590.8769572605454</c:v>
                </c:pt>
                <c:pt idx="46">
                  <c:v>1591.3455769048708</c:v>
                </c:pt>
                <c:pt idx="47">
                  <c:v>1591.8144092480452</c:v>
                </c:pt>
                <c:pt idx="48">
                  <c:v>1592.2834538135901</c:v>
                </c:pt>
                <c:pt idx="49">
                  <c:v>1592.752710126626</c:v>
                </c:pt>
                <c:pt idx="50">
                  <c:v>1589.054441615966</c:v>
                </c:pt>
                <c:pt idx="51">
                  <c:v>1587.715348650567</c:v>
                </c:pt>
                <c:pt idx="52">
                  <c:v>1585.4019401435598</c:v>
                </c:pt>
                <c:pt idx="53">
                  <c:v>1585.8720387295018</c:v>
                </c:pt>
                <c:pt idx="54">
                  <c:v>1585.9638471717451</c:v>
                </c:pt>
                <c:pt idx="55">
                  <c:v>1586.0558645453912</c:v>
                </c:pt>
                <c:pt idx="56">
                  <c:v>1586.148090386557</c:v>
                </c:pt>
                <c:pt idx="57">
                  <c:v>1586.2405242329032</c:v>
                </c:pt>
                <c:pt idx="58">
                  <c:v>1586.3331656236278</c:v>
                </c:pt>
                <c:pt idx="59">
                  <c:v>1586.4260140994568</c:v>
                </c:pt>
                <c:pt idx="60">
                  <c:v>1586.5190692026401</c:v>
                </c:pt>
                <c:pt idx="61">
                  <c:v>1586.612330476944</c:v>
                </c:pt>
                <c:pt idx="62">
                  <c:v>1586.7057974676429</c:v>
                </c:pt>
                <c:pt idx="63">
                  <c:v>1586.7994697215147</c:v>
                </c:pt>
              </c:numCache>
            </c:numRef>
          </c:val>
          <c:extLst>
            <c:ext xmlns:c16="http://schemas.microsoft.com/office/drawing/2014/chart" uri="{C3380CC4-5D6E-409C-BE32-E72D297353CC}">
              <c16:uniqueId val="{0000000B-DF90-4111-8DF3-C257AE16A27A}"/>
            </c:ext>
          </c:extLst>
        </c:ser>
        <c:ser>
          <c:idx val="8"/>
          <c:order val="8"/>
          <c:tx>
            <c:v>Votlendi WEM</c:v>
          </c:tx>
          <c:spPr>
            <a:solidFill>
              <a:srgbClr val="0073B4">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Data'!$I$221:$BV$221</c15:sqref>
                  </c15:fullRef>
                </c:ext>
              </c:extLst>
              <c:f>'Talnagögn | Numerical Data'!$K$221:$BV$221</c:f>
              <c:numCache>
                <c:formatCode>0</c:formatCode>
                <c:ptCount val="64"/>
                <c:pt idx="33">
                  <c:v>17.192248584685633</c:v>
                </c:pt>
                <c:pt idx="34">
                  <c:v>27.569728584685635</c:v>
                </c:pt>
                <c:pt idx="35">
                  <c:v>37.455983562744109</c:v>
                </c:pt>
                <c:pt idx="36">
                  <c:v>47.833463562744122</c:v>
                </c:pt>
                <c:pt idx="37">
                  <c:v>58.026466980082795</c:v>
                </c:pt>
                <c:pt idx="38">
                  <c:v>68.342902980082812</c:v>
                </c:pt>
                <c:pt idx="39">
                  <c:v>70.516912313416157</c:v>
                </c:pt>
                <c:pt idx="40">
                  <c:v>72.694148313416122</c:v>
                </c:pt>
                <c:pt idx="41">
                  <c:v>74.871384313416129</c:v>
                </c:pt>
                <c:pt idx="42">
                  <c:v>76.929103698076872</c:v>
                </c:pt>
                <c:pt idx="43">
                  <c:v>79.10633969807688</c:v>
                </c:pt>
                <c:pt idx="44">
                  <c:v>81.25758333807687</c:v>
                </c:pt>
                <c:pt idx="45">
                  <c:v>83.434819338076863</c:v>
                </c:pt>
                <c:pt idx="46">
                  <c:v>85.612055338076843</c:v>
                </c:pt>
                <c:pt idx="47">
                  <c:v>87.789291338076879</c:v>
                </c:pt>
                <c:pt idx="48">
                  <c:v>89.966527338076872</c:v>
                </c:pt>
                <c:pt idx="49">
                  <c:v>92.143763338076866</c:v>
                </c:pt>
                <c:pt idx="50">
                  <c:v>94.320999338076859</c:v>
                </c:pt>
                <c:pt idx="51">
                  <c:v>96.498235338076867</c:v>
                </c:pt>
                <c:pt idx="52">
                  <c:v>98.675471338076846</c:v>
                </c:pt>
                <c:pt idx="53">
                  <c:v>100.85270733807687</c:v>
                </c:pt>
                <c:pt idx="54">
                  <c:v>103.02994333807686</c:v>
                </c:pt>
                <c:pt idx="55">
                  <c:v>105.20717933807684</c:v>
                </c:pt>
                <c:pt idx="56">
                  <c:v>107.38441533807685</c:v>
                </c:pt>
                <c:pt idx="57">
                  <c:v>109.56165133807683</c:v>
                </c:pt>
                <c:pt idx="58">
                  <c:v>111.73888733807686</c:v>
                </c:pt>
                <c:pt idx="59">
                  <c:v>113.91612333807687</c:v>
                </c:pt>
                <c:pt idx="60">
                  <c:v>116.09335933807687</c:v>
                </c:pt>
                <c:pt idx="61">
                  <c:v>118.27059533807689</c:v>
                </c:pt>
                <c:pt idx="62">
                  <c:v>120.44783133807685</c:v>
                </c:pt>
                <c:pt idx="63">
                  <c:v>122.62506733807689</c:v>
                </c:pt>
              </c:numCache>
            </c:numRef>
          </c:val>
          <c:extLst>
            <c:ext xmlns:c16="http://schemas.microsoft.com/office/drawing/2014/chart" uri="{C3380CC4-5D6E-409C-BE32-E72D297353CC}">
              <c16:uniqueId val="{0000000C-DF90-4111-8DF3-C257AE16A27A}"/>
            </c:ext>
          </c:extLst>
        </c:ser>
        <c:ser>
          <c:idx val="9"/>
          <c:order val="9"/>
          <c:tx>
            <c:v>Annað WEM</c:v>
          </c:tx>
          <c:spPr>
            <a:solidFill>
              <a:schemeClr val="accent4">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Data'!$I$222:$BV$222</c15:sqref>
                  </c15:fullRef>
                </c:ext>
              </c:extLst>
              <c:f>'Talnagögn | Numerical Data'!$K$222:$BV$222</c:f>
              <c:numCache>
                <c:formatCode>0</c:formatCode>
                <c:ptCount val="64"/>
                <c:pt idx="33">
                  <c:v>32.763450946138619</c:v>
                </c:pt>
                <c:pt idx="34">
                  <c:v>32.757361256578406</c:v>
                </c:pt>
                <c:pt idx="35">
                  <c:v>32.719356057910773</c:v>
                </c:pt>
                <c:pt idx="36">
                  <c:v>32.647392415559807</c:v>
                </c:pt>
                <c:pt idx="37">
                  <c:v>32.629910369882964</c:v>
                </c:pt>
                <c:pt idx="38">
                  <c:v>32.598154332262311</c:v>
                </c:pt>
                <c:pt idx="39">
                  <c:v>32.58373048840167</c:v>
                </c:pt>
                <c:pt idx="40">
                  <c:v>32.547127426004408</c:v>
                </c:pt>
                <c:pt idx="41">
                  <c:v>32.598171997316058</c:v>
                </c:pt>
                <c:pt idx="42">
                  <c:v>32.604912718222295</c:v>
                </c:pt>
                <c:pt idx="43">
                  <c:v>32.584874475192009</c:v>
                </c:pt>
                <c:pt idx="44">
                  <c:v>32.607868729262918</c:v>
                </c:pt>
                <c:pt idx="45">
                  <c:v>32.629863214259785</c:v>
                </c:pt>
                <c:pt idx="46">
                  <c:v>32.610289275642572</c:v>
                </c:pt>
                <c:pt idx="47">
                  <c:v>32.599278699379283</c:v>
                </c:pt>
                <c:pt idx="48">
                  <c:v>32.610296674678466</c:v>
                </c:pt>
                <c:pt idx="49">
                  <c:v>32.585410491502444</c:v>
                </c:pt>
                <c:pt idx="50">
                  <c:v>32.574181024545396</c:v>
                </c:pt>
                <c:pt idx="51">
                  <c:v>32.580841707902437</c:v>
                </c:pt>
                <c:pt idx="52">
                  <c:v>32.614143355626766</c:v>
                </c:pt>
                <c:pt idx="53">
                  <c:v>32.622455265528515</c:v>
                </c:pt>
                <c:pt idx="54">
                  <c:v>32.644576098605285</c:v>
                </c:pt>
                <c:pt idx="55">
                  <c:v>32.677250055523473</c:v>
                </c:pt>
                <c:pt idx="56">
                  <c:v>32.674050479925427</c:v>
                </c:pt>
                <c:pt idx="57">
                  <c:v>32.589927176458332</c:v>
                </c:pt>
                <c:pt idx="58">
                  <c:v>32.564411347555506</c:v>
                </c:pt>
                <c:pt idx="59">
                  <c:v>32.520226787743923</c:v>
                </c:pt>
                <c:pt idx="60">
                  <c:v>32.487430154480535</c:v>
                </c:pt>
                <c:pt idx="61">
                  <c:v>32.477218848349821</c:v>
                </c:pt>
                <c:pt idx="62">
                  <c:v>32.470069405238064</c:v>
                </c:pt>
                <c:pt idx="63">
                  <c:v>32.467548121219806</c:v>
                </c:pt>
              </c:numCache>
            </c:numRef>
          </c:val>
          <c:extLst>
            <c:ext xmlns:c16="http://schemas.microsoft.com/office/drawing/2014/chart" uri="{C3380CC4-5D6E-409C-BE32-E72D297353CC}">
              <c16:uniqueId val="{0000000D-DF90-4111-8DF3-C257AE16A27A}"/>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5352545397803483"/>
          <c:y val="0.32385416666666667"/>
          <c:w val="0.12494676381404067"/>
          <c:h val="0.3405324074074074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63753506962993"/>
          <c:y val="9.6427417642873797E-2"/>
          <c:w val="0.46817468818294744"/>
          <c:h val="0.82875494974366848"/>
        </c:manualLayout>
      </c:layout>
      <c:doughnutChart>
        <c:varyColors val="1"/>
        <c:ser>
          <c:idx val="0"/>
          <c:order val="0"/>
          <c:dPt>
            <c:idx val="0"/>
            <c:bubble3D val="0"/>
            <c:spPr>
              <a:solidFill>
                <a:srgbClr val="FFBB8D"/>
              </a:solidFill>
              <a:ln w="19050">
                <a:solidFill>
                  <a:schemeClr val="lt1"/>
                </a:solidFill>
              </a:ln>
              <a:effectLst/>
            </c:spPr>
            <c:extLst>
              <c:ext xmlns:c16="http://schemas.microsoft.com/office/drawing/2014/chart" uri="{C3380CC4-5D6E-409C-BE32-E72D297353CC}">
                <c16:uniqueId val="{00000001-89F9-4CFE-BC42-1549311B9247}"/>
              </c:ext>
            </c:extLst>
          </c:dPt>
          <c:dPt>
            <c:idx val="1"/>
            <c:bubble3D val="0"/>
            <c:spPr>
              <a:solidFill>
                <a:srgbClr val="33CAB5"/>
              </a:solidFill>
              <a:ln w="19050">
                <a:solidFill>
                  <a:schemeClr val="lt1"/>
                </a:solidFill>
              </a:ln>
              <a:effectLst/>
            </c:spPr>
            <c:extLst>
              <c:ext xmlns:c16="http://schemas.microsoft.com/office/drawing/2014/chart" uri="{C3380CC4-5D6E-409C-BE32-E72D297353CC}">
                <c16:uniqueId val="{00000003-89F9-4CFE-BC42-1549311B9247}"/>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89F9-4CFE-BC42-1549311B9247}"/>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89F9-4CFE-BC42-1549311B9247}"/>
              </c:ext>
            </c:extLst>
          </c:dPt>
          <c:dLbls>
            <c:dLbl>
              <c:idx val="0"/>
              <c:layout>
                <c:manualLayout>
                  <c:x val="-0.21662760416666665"/>
                  <c:y val="-0.15581018518518519"/>
                </c:manualLayout>
              </c:layout>
              <c:tx>
                <c:rich>
                  <a:bodyPr/>
                  <a:lstStyle/>
                  <a:p>
                    <a:r>
                      <a:rPr lang="en-US" sz="1000" b="1">
                        <a:latin typeface="+mn-lt"/>
                      </a:rPr>
                      <a:t>Urðun úrgangs</a:t>
                    </a:r>
                  </a:p>
                  <a:p>
                    <a:r>
                      <a:rPr lang="en-US" sz="1000" b="0">
                        <a:latin typeface="+mn-lt"/>
                      </a:rPr>
                      <a:t>200 </a:t>
                    </a:r>
                    <a:r>
                      <a:rPr lang="en-US" sz="1000" b="0" i="0" u="none" strike="noStrike" kern="1200" baseline="0">
                        <a:solidFill>
                          <a:sysClr val="windowText" lastClr="000000"/>
                        </a:solidFill>
                        <a:latin typeface="+mn-lt"/>
                      </a:rPr>
                      <a:t>þús. tonn CO</a:t>
                    </a:r>
                    <a:r>
                      <a:rPr lang="en-US" sz="1000" b="0" i="0" u="none" strike="noStrike" kern="1200" baseline="-25000">
                        <a:solidFill>
                          <a:sysClr val="windowText" lastClr="000000"/>
                        </a:solidFill>
                        <a:latin typeface="+mn-lt"/>
                      </a:rPr>
                      <a:t>2</a:t>
                    </a:r>
                    <a:r>
                      <a:rPr lang="en-US" sz="1000" b="0" i="0" u="none" strike="noStrike" kern="1200" baseline="0">
                        <a:solidFill>
                          <a:sysClr val="windowText" lastClr="000000"/>
                        </a:solidFill>
                        <a:latin typeface="+mn-lt"/>
                      </a:rPr>
                      <a:t>-íg.</a:t>
                    </a:r>
                    <a:endParaRPr lang="en-US" sz="1000" b="0">
                      <a:latin typeface="+mn-lt"/>
                    </a:endParaRPr>
                  </a:p>
                  <a:p>
                    <a:r>
                      <a:rPr lang="en-US" sz="1000" b="0">
                        <a:latin typeface="+mn-lt"/>
                      </a:rPr>
                      <a:t>86%</a:t>
                    </a:r>
                  </a:p>
                </c:rich>
              </c:tx>
              <c:showLegendKey val="0"/>
              <c:showVal val="1"/>
              <c:showCatName val="1"/>
              <c:showSerName val="0"/>
              <c:showPercent val="1"/>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89F9-4CFE-BC42-1549311B9247}"/>
                </c:ext>
              </c:extLst>
            </c:dLbl>
            <c:dLbl>
              <c:idx val="1"/>
              <c:layout>
                <c:manualLayout>
                  <c:x val="0.24598514310672615"/>
                  <c:y val="-0.3013376582830073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829A2C29-7F72-43F0-8632-8A29DB4860DA}" type="CATEGORYNAME">
                      <a:rPr lang="en-US" sz="1000" b="1">
                        <a:latin typeface="+mn-lt"/>
                      </a:rPr>
                      <a:pPr>
                        <a:defRPr sz="1000"/>
                      </a:pPr>
                      <a:t>[CATEGORY NAME]</a:t>
                    </a:fld>
                    <a:endParaRPr lang="en-US" sz="1000" b="1">
                      <a:latin typeface="+mn-lt"/>
                    </a:endParaRPr>
                  </a:p>
                  <a:p>
                    <a:pPr>
                      <a:defRPr sz="1000"/>
                    </a:pPr>
                    <a:fld id="{A31AE877-A66B-4442-BACF-AA9B6FB8EA0F}"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06EFCD58-9F30-4E5D-97F0-78F3CB236A86}"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89F9-4CFE-BC42-1549311B9247}"/>
                </c:ext>
              </c:extLst>
            </c:dLbl>
            <c:dLbl>
              <c:idx val="2"/>
              <c:layout>
                <c:manualLayout>
                  <c:x val="0.2433308219444118"/>
                  <c:y val="-2.5580066768746693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60204157-D6F6-4FD5-95A4-C8F38E63A8A8}" type="CATEGORYNAME">
                      <a:rPr lang="en-US" sz="1000" b="1">
                        <a:latin typeface="+mn-lt"/>
                      </a:rPr>
                      <a:pPr>
                        <a:defRPr sz="1000"/>
                      </a:pPr>
                      <a:t>[CATEGORY NAME]</a:t>
                    </a:fld>
                    <a:endParaRPr lang="en-US" sz="1000" b="1">
                      <a:latin typeface="+mn-lt"/>
                    </a:endParaRPr>
                  </a:p>
                  <a:p>
                    <a:pPr>
                      <a:defRPr sz="1000"/>
                    </a:pPr>
                    <a:fld id="{7D2C3F96-4904-4805-8DA0-52030DE51184}"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65A9E718-1933-4F6F-8EDD-AC8CEC1DFB29}"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914315251247355"/>
                      <c:h val="0.2203818528451548"/>
                    </c:manualLayout>
                  </c15:layout>
                  <c15:dlblFieldTable/>
                  <c15:showDataLabelsRange val="0"/>
                </c:ext>
                <c:ext xmlns:c16="http://schemas.microsoft.com/office/drawing/2014/chart" uri="{C3380CC4-5D6E-409C-BE32-E72D297353CC}">
                  <c16:uniqueId val="{00000005-89F9-4CFE-BC42-1549311B9247}"/>
                </c:ext>
              </c:extLst>
            </c:dLbl>
            <c:dLbl>
              <c:idx val="3"/>
              <c:layout>
                <c:manualLayout>
                  <c:x val="0.22996262754901903"/>
                  <c:y val="0.13093504052492616"/>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79CA2E5C-E3CE-43C4-952E-9A5CA21270F9}" type="CATEGORYNAME">
                      <a:rPr lang="en-US" sz="1000" b="1">
                        <a:latin typeface="+mn-lt"/>
                      </a:rPr>
                      <a:pPr>
                        <a:defRPr sz="1000"/>
                      </a:pPr>
                      <a:t>[CATEGORY NAME]</a:t>
                    </a:fld>
                    <a:endParaRPr lang="en-US" sz="1000" b="1">
                      <a:latin typeface="+mn-lt"/>
                    </a:endParaRPr>
                  </a:p>
                  <a:p>
                    <a:pPr>
                      <a:defRPr sz="1000"/>
                    </a:pPr>
                    <a:fld id="{61225F9B-A1BF-4036-B034-D87DAEB6B9AE}"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A6C5897A-C03A-4867-9127-FEE5F84E2546}"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723138020833334"/>
                      <c:h val="0.1747428240740741"/>
                    </c:manualLayout>
                  </c15:layout>
                  <c15:dlblFieldTable/>
                  <c15:showDataLabelsRange val="0"/>
                </c:ext>
                <c:ext xmlns:c16="http://schemas.microsoft.com/office/drawing/2014/chart" uri="{C3380CC4-5D6E-409C-BE32-E72D297353CC}">
                  <c16:uniqueId val="{00000007-89F9-4CFE-BC42-1549311B9247}"/>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Emissions'!$E$729:$E$732</c:f>
              <c:strCache>
                <c:ptCount val="4"/>
                <c:pt idx="0">
                  <c:v>Urðun úrgangs</c:v>
                </c:pt>
                <c:pt idx="1">
                  <c:v>Jarðgerð</c:v>
                </c:pt>
                <c:pt idx="2">
                  <c:v>Brennsla og opinn bruni</c:v>
                </c:pt>
                <c:pt idx="3">
                  <c:v>Meðhöndlun skólps</c:v>
                </c:pt>
              </c:strCache>
            </c:strRef>
          </c:cat>
          <c:val>
            <c:numRef>
              <c:f>'Losun | Emissions'!$F$729:$F$732</c:f>
              <c:numCache>
                <c:formatCode>0.0</c:formatCode>
                <c:ptCount val="4"/>
                <c:pt idx="0" formatCode="0">
                  <c:v>185.03247377735417</c:v>
                </c:pt>
                <c:pt idx="1">
                  <c:v>6.035782317557894</c:v>
                </c:pt>
                <c:pt idx="2">
                  <c:v>7.4483956660185804</c:v>
                </c:pt>
                <c:pt idx="3" formatCode="0">
                  <c:v>24.075251834056697</c:v>
                </c:pt>
              </c:numCache>
            </c:numRef>
          </c:val>
          <c:extLst>
            <c:ext xmlns:c16="http://schemas.microsoft.com/office/drawing/2014/chart" uri="{C3380CC4-5D6E-409C-BE32-E72D297353CC}">
              <c16:uniqueId val="{00000008-89F9-4CFE-BC42-1549311B9247}"/>
            </c:ext>
          </c:extLst>
        </c:ser>
        <c:dLbls>
          <c:showLegendKey val="0"/>
          <c:showVal val="0"/>
          <c:showCatName val="0"/>
          <c:showSerName val="0"/>
          <c:showPercent val="0"/>
          <c:showBubbleSize val="0"/>
          <c:showLeaderLines val="1"/>
        </c:dLbls>
        <c:firstSliceAng val="126"/>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568619791666673E-2"/>
          <c:y val="3.8217592592592595E-2"/>
          <c:w val="0.64677995169082125"/>
          <c:h val="0.87500833333333339"/>
        </c:manualLayout>
      </c:layout>
      <c:barChart>
        <c:barDir val="col"/>
        <c:grouping val="stacked"/>
        <c:varyColors val="0"/>
        <c:ser>
          <c:idx val="0"/>
          <c:order val="0"/>
          <c:tx>
            <c:strRef>
              <c:f>'Talnagögn | Numerical Data'!$E$230</c:f>
              <c:strCache>
                <c:ptCount val="1"/>
                <c:pt idx="0">
                  <c:v>Urðun úrgangs</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extLst>
            <c:ext xmlns:c16="http://schemas.microsoft.com/office/drawing/2014/chart" uri="{C3380CC4-5D6E-409C-BE32-E72D297353CC}">
              <c16:uniqueId val="{00000000-D389-4243-ADE1-08ECACD7551C}"/>
            </c:ext>
          </c:extLst>
        </c:ser>
        <c:ser>
          <c:idx val="3"/>
          <c:order val="1"/>
          <c:tx>
            <c:strRef>
              <c:f>'Talnagögn | Numerical Data'!$E$233</c:f>
              <c:strCache>
                <c:ptCount val="1"/>
                <c:pt idx="0">
                  <c:v>Meðhöndlun skólps</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extLst>
            <c:ext xmlns:c16="http://schemas.microsoft.com/office/drawing/2014/chart" uri="{C3380CC4-5D6E-409C-BE32-E72D297353CC}">
              <c16:uniqueId val="{00000001-D389-4243-ADE1-08ECACD7551C}"/>
            </c:ext>
          </c:extLst>
        </c:ser>
        <c:ser>
          <c:idx val="2"/>
          <c:order val="2"/>
          <c:tx>
            <c:strRef>
              <c:f>'Talnagögn | Numerical Data'!$E$232</c:f>
              <c:strCache>
                <c:ptCount val="1"/>
                <c:pt idx="0">
                  <c:v>Brennsla og opinn bruni</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extLst>
            <c:ext xmlns:c16="http://schemas.microsoft.com/office/drawing/2014/chart" uri="{C3380CC4-5D6E-409C-BE32-E72D297353CC}">
              <c16:uniqueId val="{00000002-D389-4243-ADE1-08ECACD7551C}"/>
            </c:ext>
          </c:extLst>
        </c:ser>
        <c:ser>
          <c:idx val="1"/>
          <c:order val="3"/>
          <c:tx>
            <c:strRef>
              <c:f>'Talnagögn | Numerical Data'!$E$231</c:f>
              <c:strCache>
                <c:ptCount val="1"/>
                <c:pt idx="0">
                  <c:v>Jarðgerð</c:v>
                </c:pt>
              </c:strCache>
            </c:strRef>
          </c:tx>
          <c:spPr>
            <a:solidFill>
              <a:srgbClr val="33CA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extLst>
            <c:ext xmlns:c16="http://schemas.microsoft.com/office/drawing/2014/chart" uri="{C3380CC4-5D6E-409C-BE32-E72D297353CC}">
              <c16:uniqueId val="{00000003-D389-4243-ADE1-08ECACD7551C}"/>
            </c:ext>
          </c:extLst>
        </c:ser>
        <c:dLbls>
          <c:showLegendKey val="0"/>
          <c:showVal val="0"/>
          <c:showCatName val="0"/>
          <c:showSerName val="0"/>
          <c:showPercent val="0"/>
          <c:showBubbleSize val="0"/>
        </c:dLbls>
        <c:gapWidth val="150"/>
        <c:overlap val="100"/>
        <c:axId val="1227402936"/>
        <c:axId val="1227403296"/>
      </c:bar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9617127676199408E-3"/>
              <c:y val="9.61319444444444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3517391304347823"/>
          <c:y val="0.34320833333333334"/>
          <c:w val="0.21537552247372491"/>
          <c:h val="0.310643518518518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43747325512207E-2"/>
          <c:y val="3.2337962962962964E-2"/>
          <c:w val="0.6378304233663562"/>
          <c:h val="0.87451759259259254"/>
        </c:manualLayout>
      </c:layout>
      <c:barChart>
        <c:barDir val="col"/>
        <c:grouping val="stacked"/>
        <c:varyColors val="0"/>
        <c:ser>
          <c:idx val="0"/>
          <c:order val="0"/>
          <c:tx>
            <c:strRef>
              <c:f>'Talnagögn | Numerical Data'!$E$248</c:f>
              <c:strCache>
                <c:ptCount val="1"/>
                <c:pt idx="0">
                  <c:v>Alþjóðaflug</c:v>
                </c:pt>
              </c:strCache>
            </c:strRef>
          </c:tx>
          <c:spPr>
            <a:solidFill>
              <a:schemeClr val="bg1">
                <a:lumMod val="5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extLst>
            <c:ext xmlns:c16="http://schemas.microsoft.com/office/drawing/2014/chart" uri="{C3380CC4-5D6E-409C-BE32-E72D297353CC}">
              <c16:uniqueId val="{00000000-5FC3-4F61-8A27-0ADF77550224}"/>
            </c:ext>
          </c:extLst>
        </c:ser>
        <c:ser>
          <c:idx val="1"/>
          <c:order val="1"/>
          <c:tx>
            <c:strRef>
              <c:f>'Talnagögn | Numerical Data'!$E$249</c:f>
              <c:strCache>
                <c:ptCount val="1"/>
                <c:pt idx="0">
                  <c:v>Alþjóðasiglingar</c:v>
                </c:pt>
              </c:strCache>
            </c:strRef>
          </c:tx>
          <c:spPr>
            <a:solidFill>
              <a:schemeClr val="bg1">
                <a:lumMod val="85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extLst>
            <c:ext xmlns:c16="http://schemas.microsoft.com/office/drawing/2014/chart" uri="{C3380CC4-5D6E-409C-BE32-E72D297353CC}">
              <c16:uniqueId val="{00000001-5FC3-4F61-8A27-0ADF77550224}"/>
            </c:ext>
          </c:extLst>
        </c:ser>
        <c:dLbls>
          <c:showLegendKey val="0"/>
          <c:showVal val="0"/>
          <c:showCatName val="0"/>
          <c:showSerName val="0"/>
          <c:showPercent val="0"/>
          <c:showBubbleSize val="0"/>
        </c:dLbls>
        <c:gapWidth val="150"/>
        <c:overlap val="100"/>
        <c:axId val="1010444872"/>
        <c:axId val="1010443072"/>
      </c:bar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7.763080491046463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828623899627833"/>
          <c:y val="0.4113148148148148"/>
          <c:w val="0.15563913043478261"/>
          <c:h val="0.159731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4251256038647342"/>
          <c:h val="0.8754916198981505"/>
        </c:manualLayout>
      </c:layout>
      <c:lineChart>
        <c:grouping val="standard"/>
        <c:varyColors val="0"/>
        <c:ser>
          <c:idx val="1"/>
          <c:order val="0"/>
          <c:tx>
            <c:strRef>
              <c:f>'Talnagögn | Numerical Data'!$E$247</c:f>
              <c:strCache>
                <c:ptCount val="1"/>
                <c:pt idx="0">
                  <c:v>Söguleg losun</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Data'!$I$250:$AX$250</c:f>
              <c:numCache>
                <c:formatCode>0</c:formatCode>
                <c:ptCount val="42"/>
                <c:pt idx="0">
                  <c:v>249.18830307400407</c:v>
                </c:pt>
                <c:pt idx="1">
                  <c:v>237.45977851865786</c:v>
                </c:pt>
                <c:pt idx="2">
                  <c:v>225.4442383920813</c:v>
                </c:pt>
                <c:pt idx="3">
                  <c:v>226.79764254235559</c:v>
                </c:pt>
                <c:pt idx="4">
                  <c:v>249.01487170376896</c:v>
                </c:pt>
                <c:pt idx="5">
                  <c:v>241.08118647723427</c:v>
                </c:pt>
                <c:pt idx="6">
                  <c:v>292.50791574587663</c:v>
                </c:pt>
                <c:pt idx="7">
                  <c:v>332.53935096951966</c:v>
                </c:pt>
                <c:pt idx="8">
                  <c:v>392.39611490144415</c:v>
                </c:pt>
                <c:pt idx="9">
                  <c:v>405.07151188095168</c:v>
                </c:pt>
                <c:pt idx="10">
                  <c:v>464.82674989317411</c:v>
                </c:pt>
                <c:pt idx="11">
                  <c:v>411.02433541047156</c:v>
                </c:pt>
                <c:pt idx="12">
                  <c:v>397.72441642211913</c:v>
                </c:pt>
                <c:pt idx="13">
                  <c:v>354.60769127093454</c:v>
                </c:pt>
                <c:pt idx="14">
                  <c:v>403.56010971859541</c:v>
                </c:pt>
                <c:pt idx="15">
                  <c:v>426.18286173121129</c:v>
                </c:pt>
                <c:pt idx="16">
                  <c:v>520.53315238765879</c:v>
                </c:pt>
                <c:pt idx="17">
                  <c:v>526.97675625482043</c:v>
                </c:pt>
                <c:pt idx="18">
                  <c:v>478.63744631810414</c:v>
                </c:pt>
                <c:pt idx="19">
                  <c:v>353.83979965119778</c:v>
                </c:pt>
                <c:pt idx="20">
                  <c:v>380.00595044413336</c:v>
                </c:pt>
                <c:pt idx="21">
                  <c:v>474.81457628774382</c:v>
                </c:pt>
                <c:pt idx="22">
                  <c:v>469.05167646871598</c:v>
                </c:pt>
                <c:pt idx="23">
                  <c:v>581.19189766814407</c:v>
                </c:pt>
                <c:pt idx="24">
                  <c:v>656.00557552410612</c:v>
                </c:pt>
                <c:pt idx="25">
                  <c:v>828.22264907893759</c:v>
                </c:pt>
                <c:pt idx="26">
                  <c:v>1110.1413446546903</c:v>
                </c:pt>
                <c:pt idx="27">
                  <c:v>1368.7391778803028</c:v>
                </c:pt>
                <c:pt idx="28">
                  <c:v>1537.3489427750405</c:v>
                </c:pt>
                <c:pt idx="29">
                  <c:v>1169.1587170293021</c:v>
                </c:pt>
                <c:pt idx="30">
                  <c:v>341.29506994704764</c:v>
                </c:pt>
                <c:pt idx="31">
                  <c:v>614.63775803543331</c:v>
                </c:pt>
                <c:pt idx="32">
                  <c:v>1141.9810049592513</c:v>
                </c:pt>
                <c:pt idx="33">
                  <c:v>1300.2878030343516</c:v>
                </c:pt>
                <c:pt idx="34">
                  <c:v>1330.8567918985757</c:v>
                </c:pt>
                <c:pt idx="35">
                  <c:v>1296.5031608043207</c:v>
                </c:pt>
              </c:numCache>
            </c:numRef>
          </c:val>
          <c:smooth val="0"/>
          <c:extLst>
            <c:ext xmlns:c16="http://schemas.microsoft.com/office/drawing/2014/chart" uri="{C3380CC4-5D6E-409C-BE32-E72D297353CC}">
              <c16:uniqueId val="{00000000-291F-464B-B8FC-F386046BB9B9}"/>
            </c:ext>
          </c:extLst>
        </c:ser>
        <c:ser>
          <c:idx val="5"/>
          <c:order val="1"/>
          <c:tx>
            <c:strRef>
              <c:f>'Talnagögn | Numerical Data'!$E$252</c:f>
              <c:strCache>
                <c:ptCount val="1"/>
                <c:pt idx="0">
                  <c:v>Losunarspá: Sviðsmynd byggð á aðgerðum stjórnvalda</c:v>
                </c:pt>
              </c:strCache>
            </c:strRef>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Data'!$I$255:$BV$255</c:f>
              <c:numCache>
                <c:formatCode>0</c:formatCode>
                <c:ptCount val="66"/>
                <c:pt idx="35">
                  <c:v>1296.5031608043207</c:v>
                </c:pt>
                <c:pt idx="36">
                  <c:v>1208.8129283964258</c:v>
                </c:pt>
                <c:pt idx="37">
                  <c:v>1221.2027689125266</c:v>
                </c:pt>
                <c:pt idx="38">
                  <c:v>1214.9795969353358</c:v>
                </c:pt>
                <c:pt idx="39">
                  <c:v>1227.1638563536319</c:v>
                </c:pt>
                <c:pt idx="40">
                  <c:v>1200.7267010960009</c:v>
                </c:pt>
                <c:pt idx="41">
                  <c:v>1209.521785135677</c:v>
                </c:pt>
                <c:pt idx="42">
                  <c:v>1220.6572257563585</c:v>
                </c:pt>
                <c:pt idx="43">
                  <c:v>1229.7380063790335</c:v>
                </c:pt>
                <c:pt idx="44">
                  <c:v>1236.707615350952</c:v>
                </c:pt>
                <c:pt idx="45">
                  <c:v>1100.1881832478432</c:v>
                </c:pt>
                <c:pt idx="46">
                  <c:v>1103.22152754433</c:v>
                </c:pt>
                <c:pt idx="47">
                  <c:v>1105.4744088263114</c:v>
                </c:pt>
                <c:pt idx="48">
                  <c:v>1106.7174344478367</c:v>
                </c:pt>
                <c:pt idx="49">
                  <c:v>1106.8626145601588</c:v>
                </c:pt>
                <c:pt idx="50">
                  <c:v>961.69566973913356</c:v>
                </c:pt>
                <c:pt idx="51">
                  <c:v>959.5536696811331</c:v>
                </c:pt>
                <c:pt idx="52">
                  <c:v>955.64238661361867</c:v>
                </c:pt>
                <c:pt idx="53">
                  <c:v>950.23443289076715</c:v>
                </c:pt>
                <c:pt idx="54">
                  <c:v>942.50797966355617</c:v>
                </c:pt>
                <c:pt idx="55">
                  <c:v>849.66551936624364</c:v>
                </c:pt>
                <c:pt idx="56">
                  <c:v>838.30256858685004</c:v>
                </c:pt>
                <c:pt idx="57">
                  <c:v>824.91867282285921</c:v>
                </c:pt>
                <c:pt idx="58">
                  <c:v>809.98773188166945</c:v>
                </c:pt>
                <c:pt idx="59">
                  <c:v>793.97562742080743</c:v>
                </c:pt>
                <c:pt idx="60">
                  <c:v>481.16415097029608</c:v>
                </c:pt>
                <c:pt idx="61">
                  <c:v>463.88750210274793</c:v>
                </c:pt>
                <c:pt idx="62">
                  <c:v>446.79106729048851</c:v>
                </c:pt>
                <c:pt idx="63">
                  <c:v>430.37960756293222</c:v>
                </c:pt>
                <c:pt idx="64">
                  <c:v>415.0154437380624</c:v>
                </c:pt>
                <c:pt idx="65">
                  <c:v>400.94821084612619</c:v>
                </c:pt>
              </c:numCache>
            </c:numRef>
          </c:val>
          <c:smooth val="0"/>
          <c:extLst>
            <c:ext xmlns:c16="http://schemas.microsoft.com/office/drawing/2014/chart" uri="{C3380CC4-5D6E-409C-BE32-E72D297353CC}">
              <c16:uniqueId val="{00000001-291F-464B-B8FC-F386046BB9B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6195229468599035"/>
          <c:y val="0.3127869421920268"/>
          <c:w val="0.22801896135265701"/>
          <c:h val="0.37755911912740703"/>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tx1"/>
            </a:solidFill>
            <a:ln>
              <a:noFill/>
            </a:ln>
            <a:effectLst/>
          </c:spPr>
          <c:invertIfNegative val="0"/>
          <c:dPt>
            <c:idx val="0"/>
            <c:invertIfNegative val="0"/>
            <c:bubble3D val="0"/>
            <c:spPr>
              <a:solidFill>
                <a:srgbClr val="3C7290"/>
              </a:solidFill>
              <a:ln>
                <a:noFill/>
              </a:ln>
              <a:effectLst/>
            </c:spPr>
            <c:extLst>
              <c:ext xmlns:c16="http://schemas.microsoft.com/office/drawing/2014/chart" uri="{C3380CC4-5D6E-409C-BE32-E72D297353CC}">
                <c16:uniqueId val="{00000001-4437-4A6C-AB35-58EBF741833A}"/>
              </c:ext>
            </c:extLst>
          </c:dPt>
          <c:dPt>
            <c:idx val="1"/>
            <c:invertIfNegative val="0"/>
            <c:bubble3D val="0"/>
            <c:spPr>
              <a:solidFill>
                <a:schemeClr val="accent6"/>
              </a:solidFill>
              <a:ln>
                <a:noFill/>
              </a:ln>
              <a:effectLst/>
            </c:spPr>
            <c:extLst>
              <c:ext xmlns:c16="http://schemas.microsoft.com/office/drawing/2014/chart" uri="{C3380CC4-5D6E-409C-BE32-E72D297353CC}">
                <c16:uniqueId val="{00000003-4437-4A6C-AB35-58EBF741833A}"/>
              </c:ext>
            </c:extLst>
          </c:dPt>
          <c:dPt>
            <c:idx val="2"/>
            <c:invertIfNegative val="0"/>
            <c:bubble3D val="0"/>
            <c:spPr>
              <a:solidFill>
                <a:srgbClr val="66D7C7"/>
              </a:solidFill>
              <a:ln>
                <a:noFill/>
              </a:ln>
              <a:effectLst/>
            </c:spPr>
            <c:extLst>
              <c:ext xmlns:c16="http://schemas.microsoft.com/office/drawing/2014/chart" uri="{C3380CC4-5D6E-409C-BE32-E72D297353CC}">
                <c16:uniqueId val="{00000005-4437-4A6C-AB35-58EBF741833A}"/>
              </c:ext>
            </c:extLst>
          </c:dPt>
          <c:dPt>
            <c:idx val="3"/>
            <c:invertIfNegative val="0"/>
            <c:bubble3D val="0"/>
            <c:spPr>
              <a:solidFill>
                <a:schemeClr val="tx1"/>
              </a:solidFill>
              <a:ln>
                <a:noFill/>
              </a:ln>
              <a:effectLst/>
            </c:spPr>
            <c:extLst>
              <c:ext xmlns:c16="http://schemas.microsoft.com/office/drawing/2014/chart" uri="{C3380CC4-5D6E-409C-BE32-E72D297353CC}">
                <c16:uniqueId val="{00000007-4437-4A6C-AB35-58EBF741833A}"/>
              </c:ext>
            </c:extLst>
          </c:dPt>
          <c:dPt>
            <c:idx val="4"/>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9-4437-4A6C-AB35-58EBF741833A}"/>
              </c:ext>
            </c:extLst>
          </c:dPt>
          <c:cat>
            <c:strRef>
              <c:f>'Losun | Emissions'!$E$624:$E$628</c:f>
              <c:strCache>
                <c:ptCount val="5"/>
                <c:pt idx="0">
                  <c:v>Skógar</c:v>
                </c:pt>
                <c:pt idx="1">
                  <c:v>Ræktað land</c:v>
                </c:pt>
                <c:pt idx="2">
                  <c:v>Mólendi</c:v>
                </c:pt>
                <c:pt idx="3">
                  <c:v>Votlendi</c:v>
                </c:pt>
                <c:pt idx="4">
                  <c:v>Önnur losun</c:v>
                </c:pt>
              </c:strCache>
            </c:strRef>
          </c:cat>
          <c:val>
            <c:numRef>
              <c:f>'Losun | Emissions'!$F$624:$F$628</c:f>
              <c:numCache>
                <c:formatCode>0</c:formatCode>
                <c:ptCount val="5"/>
                <c:pt idx="0">
                  <c:v>-569.03313713696218</c:v>
                </c:pt>
                <c:pt idx="1">
                  <c:v>1574.5549406841444</c:v>
                </c:pt>
                <c:pt idx="2">
                  <c:v>5024.8635353547543</c:v>
                </c:pt>
                <c:pt idx="3">
                  <c:v>17.192248584685633</c:v>
                </c:pt>
                <c:pt idx="4">
                  <c:v>32.763450946138619</c:v>
                </c:pt>
              </c:numCache>
            </c:numRef>
          </c:val>
          <c:extLst>
            <c:ext xmlns:c16="http://schemas.microsoft.com/office/drawing/2014/chart" uri="{C3380CC4-5D6E-409C-BE32-E72D297353CC}">
              <c16:uniqueId val="{00000008-4437-4A6C-AB35-58EBF741833A}"/>
            </c:ext>
          </c:extLst>
        </c:ser>
        <c:dLbls>
          <c:showLegendKey val="0"/>
          <c:showVal val="0"/>
          <c:showCatName val="0"/>
          <c:showSerName val="0"/>
          <c:showPercent val="0"/>
          <c:showBubbleSize val="0"/>
        </c:dLbls>
        <c:gapWidth val="182"/>
        <c:axId val="1441199688"/>
        <c:axId val="1441200768"/>
        <c:extLst/>
      </c:barChart>
      <c:catAx>
        <c:axId val="1441199688"/>
        <c:scaling>
          <c:orientation val="minMax"/>
        </c:scaling>
        <c:delete val="0"/>
        <c:axPos val="l"/>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441200768"/>
        <c:crosses val="autoZero"/>
        <c:auto val="1"/>
        <c:lblAlgn val="ctr"/>
        <c:lblOffset val="100"/>
        <c:noMultiLvlLbl val="0"/>
      </c:catAx>
      <c:valAx>
        <c:axId val="144120076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b="0" i="0" u="none" strike="noStrike" kern="1200" baseline="0">
                    <a:solidFill>
                      <a:sysClr val="windowText" lastClr="000000"/>
                    </a:solidFill>
                  </a:rPr>
                  <a:t>Losun gróðurhúsalofttegunda (þús. tonn CO</a:t>
                </a:r>
                <a:r>
                  <a:rPr lang="en-US" sz="1050" b="0" i="0" u="none" strike="noStrike" kern="1200" baseline="-25000">
                    <a:solidFill>
                      <a:sysClr val="windowText" lastClr="000000"/>
                    </a:solidFill>
                    <a:latin typeface="Aptos Narrow" panose="020B0004020202020204" pitchFamily="34" charset="0"/>
                  </a:rPr>
                  <a:t>₂</a:t>
                </a:r>
                <a:r>
                  <a:rPr lang="en-US" sz="1050" b="0" i="0" u="none" strike="noStrike" kern="1200" baseline="0">
                    <a:solidFill>
                      <a:sysClr val="windowText" lastClr="000000"/>
                    </a:solidFill>
                  </a:rPr>
                  <a:t>-íg.)</a:t>
                </a:r>
              </a:p>
            </c:rich>
          </c:tx>
          <c:layout>
            <c:manualLayout>
              <c:xMode val="edge"/>
              <c:yMode val="edge"/>
              <c:x val="0.31093177083333334"/>
              <c:y val="0.9491706018518518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199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4.8502083333333341E-2"/>
          <c:w val="0.64070954106280198"/>
          <c:h val="0.86079259259259266"/>
        </c:manualLayout>
      </c:layout>
      <c:lineChart>
        <c:grouping val="standard"/>
        <c:varyColors val="0"/>
        <c:ser>
          <c:idx val="1"/>
          <c:order val="0"/>
          <c:tx>
            <c:strRef>
              <c:f>'Talnagögn | Numerical Data'!$E$229</c:f>
              <c:strCache>
                <c:ptCount val="1"/>
                <c:pt idx="0">
                  <c:v>Söguleg losun</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Data'!$I$234:$AX$234</c:f>
              <c:numCache>
                <c:formatCode>0</c:formatCode>
                <c:ptCount val="42"/>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0-4B5E-4999-94D4-23AA44BA90AC}"/>
            </c:ext>
          </c:extLst>
        </c:ser>
        <c:ser>
          <c:idx val="5"/>
          <c:order val="1"/>
          <c:tx>
            <c:strRef>
              <c:f>'Talnagögn | Numerical Data'!$E$236</c:f>
              <c:strCache>
                <c:ptCount val="1"/>
                <c:pt idx="0">
                  <c:v>Losunarspá: Sviðsmynd byggð á aðgerðum stjórnvalda</c:v>
                </c:pt>
              </c:strCache>
            </c:strRef>
          </c:tx>
          <c:spPr>
            <a:ln>
              <a:solidFill>
                <a:srgbClr val="ED7D31"/>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Data'!$I$241:$BV$241</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1-4B5E-4999-94D4-23AA44BA90AC}"/>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solidFill>
          <a:schemeClr val="bg1"/>
        </a:solidFill>
      </c:spPr>
    </c:plotArea>
    <c:legend>
      <c:legendPos val="r"/>
      <c:layout>
        <c:manualLayout>
          <c:xMode val="edge"/>
          <c:yMode val="edge"/>
          <c:x val="0.72331914680321774"/>
          <c:y val="0.3127869421920268"/>
          <c:w val="0.27268686263637543"/>
          <c:h val="0.37755911912740703"/>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713276588747125"/>
          <c:y val="0.10037870405362004"/>
          <c:w val="0.46487433487944474"/>
          <c:h val="0.81089760944000011"/>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1DA-4B22-B96D-509E1BAE966C}"/>
              </c:ext>
            </c:extLst>
          </c:dPt>
          <c:dPt>
            <c:idx val="1"/>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3-D1DA-4B22-B96D-509E1BAE966C}"/>
              </c:ext>
            </c:extLst>
          </c:dPt>
          <c:dPt>
            <c:idx val="2"/>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5-D1DA-4B22-B96D-509E1BAE966C}"/>
              </c:ext>
            </c:extLst>
          </c:dPt>
          <c:dPt>
            <c:idx val="3"/>
            <c:bubble3D val="0"/>
            <c:spPr>
              <a:solidFill>
                <a:schemeClr val="tx1"/>
              </a:solidFill>
              <a:ln w="19050">
                <a:solidFill>
                  <a:schemeClr val="lt1"/>
                </a:solidFill>
              </a:ln>
              <a:effectLst/>
            </c:spPr>
            <c:extLst>
              <c:ext xmlns:c16="http://schemas.microsoft.com/office/drawing/2014/chart" uri="{C3380CC4-5D6E-409C-BE32-E72D297353CC}">
                <c16:uniqueId val="{00000007-D1DA-4B22-B96D-509E1BAE966C}"/>
              </c:ext>
            </c:extLst>
          </c:dPt>
          <c:dLbls>
            <c:dLbl>
              <c:idx val="0"/>
              <c:layout>
                <c:manualLayout>
                  <c:x val="0.19801689458315938"/>
                  <c:y val="-0.17948700126732142"/>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C96FB7D-4611-4413-A89B-C9595055433E}"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03D148E-BFC3-46AB-9C21-92A08784A688}" type="VALUE">
                      <a:rPr lang="en-US"/>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a:t>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1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4721F7C8-4257-4D13-A026-1BFE3281E2FD}"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D1DA-4B22-B96D-509E1BAE966C}"/>
                </c:ext>
              </c:extLst>
            </c:dLbl>
            <c:dLbl>
              <c:idx val="1"/>
              <c:layout>
                <c:manualLayout>
                  <c:x val="-0.24776510162855331"/>
                  <c:y val="0.10217874460275432"/>
                </c:manualLayout>
              </c:layout>
              <c:tx>
                <c:rich>
                  <a:bodyPr/>
                  <a:lstStyle/>
                  <a:p>
                    <a:fld id="{C05A445F-D136-4920-AA09-69ED7D03E859}" type="CATEGORYNAME">
                      <a:rPr lang="en-US" sz="1200" b="1"/>
                      <a:pPr/>
                      <a:t>[CATEGORY NAME]</a:t>
                    </a:fld>
                    <a:endParaRPr lang="en-US" b="1" baseline="0"/>
                  </a:p>
                  <a:p>
                    <a:fld id="{CF5FBBD5-8ABA-49AD-AAF7-92A9B5E9941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100" b="0" i="0" u="none" strike="noStrike" kern="1200" baseline="0">
                      <a:solidFill>
                        <a:sysClr val="windowText" lastClr="000000"/>
                      </a:solidFill>
                    </a:endParaRPr>
                  </a:p>
                  <a:p>
                    <a:fld id="{BF1516B9-1C61-40DF-9582-9B497EE2934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30628947072483098"/>
                      <c:h val="0.21895869449305794"/>
                    </c:manualLayout>
                  </c15:layout>
                  <c15:dlblFieldTable/>
                  <c15:showDataLabelsRange val="0"/>
                </c:ext>
                <c:ext xmlns:c16="http://schemas.microsoft.com/office/drawing/2014/chart" uri="{C3380CC4-5D6E-409C-BE32-E72D297353CC}">
                  <c16:uniqueId val="{00000003-D1DA-4B22-B96D-509E1BAE966C}"/>
                </c:ext>
              </c:extLst>
            </c:dLbl>
            <c:dLbl>
              <c:idx val="2"/>
              <c:layout>
                <c:manualLayout>
                  <c:x val="-0.25582399498671532"/>
                  <c:y val="-1.1997720778813035E-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8BB5AA9-1D4B-4302-A9CF-A34B611161F5}"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D7E9B211-EAED-4DC0-B2FC-27EAED6A513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0" i="0" u="none" strike="noStrike" kern="1200" baseline="0">
                      <a:solidFill>
                        <a:sysClr val="windowText" lastClr="000000"/>
                      </a:solidFill>
                    </a:endParaRPr>
                  </a:p>
                  <a:p>
                    <a:pPr>
                      <a:defRPr sz="1000">
                        <a:solidFill>
                          <a:sysClr val="windowText" lastClr="000000"/>
                        </a:solidFill>
                      </a:defRPr>
                    </a:pPr>
                    <a:fld id="{DD813A6C-C518-4212-B558-56A986BE0D93}"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130722371396874"/>
                      <c:h val="0.18983105754909096"/>
                    </c:manualLayout>
                  </c15:layout>
                  <c15:dlblFieldTable/>
                  <c15:showDataLabelsRange val="0"/>
                </c:ext>
                <c:ext xmlns:c16="http://schemas.microsoft.com/office/drawing/2014/chart" uri="{C3380CC4-5D6E-409C-BE32-E72D297353CC}">
                  <c16:uniqueId val="{00000005-D1DA-4B22-B96D-509E1BAE966C}"/>
                </c:ext>
              </c:extLst>
            </c:dLbl>
            <c:dLbl>
              <c:idx val="3"/>
              <c:layout>
                <c:manualLayout>
                  <c:x val="-0.26960084777497278"/>
                  <c:y val="-0.276284804915446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1B9991A9-CB06-4AF7-B678-95E8521BE08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0EB4674-30C8-4738-8B7C-4BBCAE8E20B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7E0A0E8-BAA5-4785-80EC-47CD579CCD9D}"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D1DA-4B22-B96D-509E1BAE966C}"/>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Emissions'!$Y$362:$Y$365</c:f>
              <c:strCache>
                <c:ptCount val="4"/>
                <c:pt idx="0">
                  <c:v>Aluminium Production</c:v>
                </c:pt>
                <c:pt idx="1">
                  <c:v>Ferrosilicon and Silicon Metal Production</c:v>
                </c:pt>
                <c:pt idx="2">
                  <c:v>F-Gases</c:v>
                </c:pt>
                <c:pt idx="3">
                  <c:v>Other Emissions</c:v>
                </c:pt>
              </c:strCache>
            </c:strRef>
          </c:cat>
          <c:val>
            <c:numRef>
              <c:f>'Losun | Emissions'!$F$362:$F$365</c:f>
              <c:numCache>
                <c:formatCode>0</c:formatCode>
                <c:ptCount val="4"/>
                <c:pt idx="0">
                  <c:v>1290.3163042728158</c:v>
                </c:pt>
                <c:pt idx="1">
                  <c:v>384.34514535840748</c:v>
                </c:pt>
                <c:pt idx="2">
                  <c:v>105.65811164441938</c:v>
                </c:pt>
                <c:pt idx="3">
                  <c:v>14.100085963613324</c:v>
                </c:pt>
              </c:numCache>
            </c:numRef>
          </c:val>
          <c:extLst>
            <c:ext xmlns:c16="http://schemas.microsoft.com/office/drawing/2014/chart" uri="{C3380CC4-5D6E-409C-BE32-E72D297353CC}">
              <c16:uniqueId val="{00000008-D1DA-4B22-B96D-509E1BAE966C}"/>
            </c:ext>
          </c:extLst>
        </c:ser>
        <c:dLbls>
          <c:showLegendKey val="0"/>
          <c:showVal val="0"/>
          <c:showCatName val="0"/>
          <c:showSerName val="0"/>
          <c:showPercent val="0"/>
          <c:showBubbleSize val="0"/>
          <c:showLeaderLines val="1"/>
        </c:dLbls>
        <c:firstSliceAng val="29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4100422673687429"/>
          <c:h val="0.8754916198981505"/>
        </c:manualLayout>
      </c:layout>
      <c:lineChart>
        <c:grouping val="standard"/>
        <c:varyColors val="0"/>
        <c:ser>
          <c:idx val="1"/>
          <c:order val="0"/>
          <c:tx>
            <c:strRef>
              <c:f>'Talnagögn | Numerical Data'!$G$185</c:f>
              <c:strCache>
                <c:ptCount val="1"/>
                <c:pt idx="0">
                  <c:v>Historical Emissions</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Data'!$I$193:$AX$193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0-3E43-4D3E-AF38-52365687D148}"/>
            </c:ext>
          </c:extLst>
        </c:ser>
        <c:ser>
          <c:idx val="5"/>
          <c:order val="1"/>
          <c:tx>
            <c:strRef>
              <c:f>'Talnagögn | Numerical Data'!$G$195</c:f>
              <c:strCache>
                <c:ptCount val="1"/>
                <c:pt idx="0">
                  <c:v>Emission Projections: Government Policy-Based Scenario</c:v>
                </c:pt>
              </c:strCache>
            </c:strRef>
          </c:tx>
          <c:spPr>
            <a:ln>
              <a:solidFill>
                <a:srgbClr val="855092"/>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Data'!$I$203:$BV$203</c:f>
              <c:numCache>
                <c:formatCode>0</c:formatCode>
                <c:ptCount val="66"/>
                <c:pt idx="33">
                  <c:v>667.46610440740528</c:v>
                </c:pt>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1-3E43-4D3E-AF38-52365687D148}"/>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625729349075398"/>
          <c:y val="0.36844212962962963"/>
          <c:w val="0.22476874999999999"/>
          <c:h val="0.2395972222222222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378097827908057"/>
          <c:y val="0.11315123241906459"/>
          <c:w val="0.46817468818294744"/>
          <c:h val="0.82875494974366848"/>
        </c:manualLayout>
      </c:layout>
      <c:doughnutChart>
        <c:varyColors val="1"/>
        <c:ser>
          <c:idx val="0"/>
          <c:order val="0"/>
          <c:dPt>
            <c:idx val="0"/>
            <c:bubble3D val="0"/>
            <c:spPr>
              <a:solidFill>
                <a:srgbClr val="FFBB8D"/>
              </a:solidFill>
              <a:ln w="19050">
                <a:solidFill>
                  <a:schemeClr val="lt1"/>
                </a:solidFill>
              </a:ln>
              <a:effectLst/>
            </c:spPr>
            <c:extLst>
              <c:ext xmlns:c16="http://schemas.microsoft.com/office/drawing/2014/chart" uri="{C3380CC4-5D6E-409C-BE32-E72D297353CC}">
                <c16:uniqueId val="{00000001-091F-4A14-B1AD-36D199725926}"/>
              </c:ext>
            </c:extLst>
          </c:dPt>
          <c:dPt>
            <c:idx val="1"/>
            <c:bubble3D val="0"/>
            <c:spPr>
              <a:solidFill>
                <a:schemeClr val="tx2"/>
              </a:solidFill>
              <a:ln w="19050">
                <a:solidFill>
                  <a:schemeClr val="lt1"/>
                </a:solidFill>
              </a:ln>
              <a:effectLst/>
            </c:spPr>
            <c:extLst>
              <c:ext xmlns:c16="http://schemas.microsoft.com/office/drawing/2014/chart" uri="{C3380CC4-5D6E-409C-BE32-E72D297353CC}">
                <c16:uniqueId val="{00000003-091F-4A14-B1AD-36D199725926}"/>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091F-4A14-B1AD-36D199725926}"/>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091F-4A14-B1AD-36D199725926}"/>
              </c:ext>
            </c:extLst>
          </c:dPt>
          <c:dLbls>
            <c:dLbl>
              <c:idx val="0"/>
              <c:layout>
                <c:manualLayout>
                  <c:x val="-0.23782382801050747"/>
                  <c:y val="-0.23858830604590511"/>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r>
                      <a:rPr lang="en-US" sz="1200" b="1"/>
                      <a:t>Urðun úrgangs</a:t>
                    </a: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r>
                      <a:rPr lang="en-US" sz="1000" b="0"/>
                      <a:t>200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r>
                      <a:rPr lang="en-US" sz="1000" b="0"/>
                      <a:t>86%</a:t>
                    </a:r>
                    <a:endParaRPr lang="en-US" sz="800" b="0"/>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showDataLabelsRange val="0"/>
                </c:ext>
                <c:ext xmlns:c16="http://schemas.microsoft.com/office/drawing/2014/chart" uri="{C3380CC4-5D6E-409C-BE32-E72D297353CC}">
                  <c16:uniqueId val="{00000001-091F-4A14-B1AD-36D199725926}"/>
                </c:ext>
              </c:extLst>
            </c:dLbl>
            <c:dLbl>
              <c:idx val="1"/>
              <c:layout>
                <c:manualLayout>
                  <c:x val="0.19759517443647329"/>
                  <c:y val="-0.26366694939277985"/>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29A2C29-7F72-43F0-8632-8A29DB4860DA}" type="CATEGORYNAME">
                      <a:rPr lang="en-US" sz="1000" b="1">
                        <a:solidFill>
                          <a:sysClr val="windowText" lastClr="000000"/>
                        </a:solidFill>
                      </a:rPr>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31AE877-A66B-4442-BACF-AA9B6FB8EA0F}"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06EFCD58-9F30-4E5D-97F0-78F3CB236A86}"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737128440655411"/>
                      <c:h val="0.21397645869593204"/>
                    </c:manualLayout>
                  </c15:layout>
                  <c15:dlblFieldTable/>
                  <c15:showDataLabelsRange val="0"/>
                </c:ext>
                <c:ext xmlns:c16="http://schemas.microsoft.com/office/drawing/2014/chart" uri="{C3380CC4-5D6E-409C-BE32-E72D297353CC}">
                  <c16:uniqueId val="{00000003-091F-4A14-B1AD-36D199725926}"/>
                </c:ext>
              </c:extLst>
            </c:dLbl>
            <c:dLbl>
              <c:idx val="2"/>
              <c:layout>
                <c:manualLayout>
                  <c:x val="0.2240385856637806"/>
                  <c:y val="-1.122440862964812E-2"/>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60204157-D6F6-4FD5-95A4-C8F38E63A8A8}"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D2C3F96-4904-4805-8DA0-52030DE51184}"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65A9E718-1933-4F6F-8EDD-AC8CEC1DFB2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342613053503304"/>
                      <c:h val="0.22038185685833603"/>
                    </c:manualLayout>
                  </c15:layout>
                  <c15:dlblFieldTable/>
                  <c15:showDataLabelsRange val="0"/>
                </c:ext>
                <c:ext xmlns:c16="http://schemas.microsoft.com/office/drawing/2014/chart" uri="{C3380CC4-5D6E-409C-BE32-E72D297353CC}">
                  <c16:uniqueId val="{00000005-091F-4A14-B1AD-36D199725926}"/>
                </c:ext>
              </c:extLst>
            </c:dLbl>
            <c:dLbl>
              <c:idx val="3"/>
              <c:layout>
                <c:manualLayout>
                  <c:x val="0.22062919371512596"/>
                  <c:y val="0.18234746612590291"/>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79CA2E5C-E3CE-43C4-952E-9A5CA21270F9}"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61225F9B-A1BF-4036-B034-D87DAEB6B9AE}"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6C5897A-C03A-4867-9127-FEE5F84E2546}"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58549881532562"/>
                      <c:h val="0.17474286870831293"/>
                    </c:manualLayout>
                  </c15:layout>
                  <c15:dlblFieldTable/>
                  <c15:showDataLabelsRange val="0"/>
                </c:ext>
                <c:ext xmlns:c16="http://schemas.microsoft.com/office/drawing/2014/chart" uri="{C3380CC4-5D6E-409C-BE32-E72D297353CC}">
                  <c16:uniqueId val="{00000007-091F-4A14-B1AD-36D199725926}"/>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Emissions'!$Y$729:$Y$732</c:f>
              <c:strCache>
                <c:ptCount val="4"/>
                <c:pt idx="0">
                  <c:v>Solid Waste Disposal on Land</c:v>
                </c:pt>
                <c:pt idx="1">
                  <c:v>Biological Treatment of Solid Waste</c:v>
                </c:pt>
                <c:pt idx="2">
                  <c:v>Incineration and Open Burning</c:v>
                </c:pt>
                <c:pt idx="3">
                  <c:v>Wastewater Treatment and Discharge</c:v>
                </c:pt>
              </c:strCache>
            </c:strRef>
          </c:cat>
          <c:val>
            <c:numRef>
              <c:f>'Losun | Emissions'!$F$729:$F$732</c:f>
              <c:numCache>
                <c:formatCode>0.0</c:formatCode>
                <c:ptCount val="4"/>
                <c:pt idx="0" formatCode="0">
                  <c:v>185.03247377735417</c:v>
                </c:pt>
                <c:pt idx="1">
                  <c:v>6.035782317557894</c:v>
                </c:pt>
                <c:pt idx="2">
                  <c:v>7.4483956660185804</c:v>
                </c:pt>
                <c:pt idx="3" formatCode="0">
                  <c:v>24.075251834056697</c:v>
                </c:pt>
              </c:numCache>
            </c:numRef>
          </c:val>
          <c:extLst>
            <c:ext xmlns:c16="http://schemas.microsoft.com/office/drawing/2014/chart" uri="{C3380CC4-5D6E-409C-BE32-E72D297353CC}">
              <c16:uniqueId val="{00000008-091F-4A14-B1AD-36D199725926}"/>
            </c:ext>
          </c:extLst>
        </c:ser>
        <c:dLbls>
          <c:showLegendKey val="0"/>
          <c:showVal val="0"/>
          <c:showCatName val="0"/>
          <c:showSerName val="0"/>
          <c:showPercent val="0"/>
          <c:showBubbleSize val="0"/>
          <c:showLeaderLines val="1"/>
        </c:dLbls>
        <c:firstSliceAng val="129"/>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4.8502083333333341E-2"/>
          <c:w val="0.63150663026590248"/>
          <c:h val="0.86079259259259266"/>
        </c:manualLayout>
      </c:layout>
      <c:lineChart>
        <c:grouping val="standard"/>
        <c:varyColors val="0"/>
        <c:ser>
          <c:idx val="1"/>
          <c:order val="0"/>
          <c:tx>
            <c:strRef>
              <c:f>'Talnagögn | Numerical Data'!$G$229</c:f>
              <c:strCache>
                <c:ptCount val="1"/>
                <c:pt idx="0">
                  <c:v>Historical Emissions</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Data'!$I$234:$AX$234</c:f>
              <c:numCache>
                <c:formatCode>0</c:formatCode>
                <c:ptCount val="42"/>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0-D3AE-470D-A6E3-AF080D269DC9}"/>
            </c:ext>
          </c:extLst>
        </c:ser>
        <c:ser>
          <c:idx val="5"/>
          <c:order val="1"/>
          <c:tx>
            <c:strRef>
              <c:f>'Talnagögn | Numerical Data'!$G$236</c:f>
              <c:strCache>
                <c:ptCount val="1"/>
                <c:pt idx="0">
                  <c:v>Emission Projections: Government Policy-Based Scenario</c:v>
                </c:pt>
              </c:strCache>
            </c:strRef>
          </c:tx>
          <c:spPr>
            <a:ln>
              <a:solidFill>
                <a:srgbClr val="ED7D31"/>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Data'!$I$241:$BV$241</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1-D3AE-470D-A6E3-AF080D269DC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2331914680321774"/>
          <c:y val="0.38040277777777776"/>
          <c:w val="0.27268686263637543"/>
          <c:h val="0.22174884259259259"/>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702245142470178"/>
          <c:y val="0.10953703703703704"/>
          <c:w val="0.45587852268583634"/>
          <c:h val="0.81032407407407403"/>
        </c:manualLayout>
      </c:layout>
      <c:doughnutChart>
        <c:varyColors val="1"/>
        <c:ser>
          <c:idx val="0"/>
          <c:order val="0"/>
          <c:spPr>
            <a:solidFill>
              <a:schemeClr val="tx1">
                <a:lumMod val="75000"/>
                <a:lumOff val="25000"/>
              </a:schemeClr>
            </a:solidFill>
          </c:spPr>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0DDB-40C2-8698-4B967EA31D99}"/>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0DDB-40C2-8698-4B967EA31D99}"/>
              </c:ext>
            </c:extLst>
          </c:dPt>
          <c:dLbls>
            <c:dLbl>
              <c:idx val="0"/>
              <c:layout>
                <c:manualLayout>
                  <c:x val="0.18512661388591087"/>
                  <c:y val="0.1475949101374143"/>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6B3E904-6246-4BF0-B525-62DDAA9C844C}"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3A16D0F-3CE6-432E-B94A-C77FF515AD1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C00EED7-8876-471F-8CA2-F7669CC05AF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0DDB-40C2-8698-4B967EA31D99}"/>
                </c:ext>
              </c:extLst>
            </c:dLbl>
            <c:dLbl>
              <c:idx val="1"/>
              <c:layout>
                <c:manualLayout>
                  <c:x val="-0.20450323276579593"/>
                  <c:y val="-0.159709502798"/>
                </c:manualLayout>
              </c:layout>
              <c:tx>
                <c:rich>
                  <a:bodyPr/>
                  <a:lstStyle/>
                  <a:p>
                    <a:fld id="{AC3C7589-DE8E-4BED-81B0-6A23E9D1CD21}" type="CATEGORYNAME">
                      <a:rPr lang="en-US" sz="1000" b="1"/>
                      <a:pPr/>
                      <a:t>[CATEGORY NAME]</a:t>
                    </a:fld>
                    <a:endParaRPr lang="en-US" sz="1000" b="1" baseline="0"/>
                  </a:p>
                  <a:p>
                    <a:fld id="{78CC661D-84A4-40BD-965A-97A1964D361E}"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fld id="{B60F5778-ADB8-43D2-8D6D-22755D5038AE}"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0DDB-40C2-8698-4B967EA31D99}"/>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Emissions'!$Y$834:$Y$835</c:f>
              <c:strCache>
                <c:ptCount val="2"/>
                <c:pt idx="0">
                  <c:v>International Aviation</c:v>
                </c:pt>
                <c:pt idx="1">
                  <c:v>International Navigation</c:v>
                </c:pt>
              </c:strCache>
            </c:strRef>
          </c:cat>
          <c:val>
            <c:numRef>
              <c:f>'Losun | Emissions'!$F$834:$F$835</c:f>
              <c:numCache>
                <c:formatCode>0</c:formatCode>
                <c:ptCount val="2"/>
                <c:pt idx="0">
                  <c:v>1009.6475620140002</c:v>
                </c:pt>
                <c:pt idx="1">
                  <c:v>286.85559879032058</c:v>
                </c:pt>
              </c:numCache>
            </c:numRef>
          </c:val>
          <c:extLst>
            <c:ext xmlns:c16="http://schemas.microsoft.com/office/drawing/2014/chart" uri="{C3380CC4-5D6E-409C-BE32-E72D297353CC}">
              <c16:uniqueId val="{00000004-0DDB-40C2-8698-4B967EA31D99}"/>
            </c:ext>
          </c:extLst>
        </c:ser>
        <c:dLbls>
          <c:showLegendKey val="0"/>
          <c:showVal val="0"/>
          <c:showCatName val="0"/>
          <c:showSerName val="0"/>
          <c:showPercent val="0"/>
          <c:showBubbleSize val="0"/>
          <c:showLeaderLines val="1"/>
        </c:dLbls>
        <c:firstSliceAng val="0"/>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43747325512207E-2"/>
          <c:y val="3.2337962962962964E-2"/>
          <c:w val="0.6378304233663562"/>
          <c:h val="0.87451759259259254"/>
        </c:manualLayout>
      </c:layout>
      <c:barChart>
        <c:barDir val="col"/>
        <c:grouping val="stacked"/>
        <c:varyColors val="0"/>
        <c:ser>
          <c:idx val="0"/>
          <c:order val="0"/>
          <c:tx>
            <c:strRef>
              <c:f>'Talnagögn | Numerical Data'!$G$248</c:f>
              <c:strCache>
                <c:ptCount val="1"/>
                <c:pt idx="0">
                  <c:v>International Aviation</c:v>
                </c:pt>
              </c:strCache>
            </c:strRef>
          </c:tx>
          <c:spPr>
            <a:solidFill>
              <a:schemeClr val="bg1">
                <a:lumMod val="5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extLst>
            <c:ext xmlns:c16="http://schemas.microsoft.com/office/drawing/2014/chart" uri="{C3380CC4-5D6E-409C-BE32-E72D297353CC}">
              <c16:uniqueId val="{00000000-B584-4979-B648-AB8C629F8E50}"/>
            </c:ext>
          </c:extLst>
        </c:ser>
        <c:ser>
          <c:idx val="1"/>
          <c:order val="1"/>
          <c:tx>
            <c:strRef>
              <c:f>'Talnagögn | Numerical Data'!$G$249</c:f>
              <c:strCache>
                <c:ptCount val="1"/>
                <c:pt idx="0">
                  <c:v>International Navigation</c:v>
                </c:pt>
              </c:strCache>
            </c:strRef>
          </c:tx>
          <c:spPr>
            <a:solidFill>
              <a:schemeClr val="bg1">
                <a:lumMod val="85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extLst>
            <c:ext xmlns:c16="http://schemas.microsoft.com/office/drawing/2014/chart" uri="{C3380CC4-5D6E-409C-BE32-E72D297353CC}">
              <c16:uniqueId val="{00000001-B584-4979-B648-AB8C629F8E50}"/>
            </c:ext>
          </c:extLst>
        </c:ser>
        <c:dLbls>
          <c:showLegendKey val="0"/>
          <c:showVal val="0"/>
          <c:showCatName val="0"/>
          <c:showSerName val="0"/>
          <c:showPercent val="0"/>
          <c:showBubbleSize val="0"/>
        </c:dLbls>
        <c:gapWidth val="150"/>
        <c:overlap val="100"/>
        <c:axId val="1010444872"/>
        <c:axId val="1010443072"/>
      </c:bar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7.763080491046463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828623899627833"/>
          <c:y val="0.4113148148148148"/>
          <c:w val="0.18478167117358163"/>
          <c:h val="0.159731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5631687069212741"/>
          <c:h val="0.8754916198981505"/>
        </c:manualLayout>
      </c:layout>
      <c:lineChart>
        <c:grouping val="standard"/>
        <c:varyColors val="0"/>
        <c:ser>
          <c:idx val="1"/>
          <c:order val="0"/>
          <c:tx>
            <c:strRef>
              <c:f>'Talnagögn | Numerical Data'!$G$247</c:f>
              <c:strCache>
                <c:ptCount val="1"/>
                <c:pt idx="0">
                  <c:v>Historical Emissions</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Data'!$I$250:$AX$250</c:f>
              <c:numCache>
                <c:formatCode>0</c:formatCode>
                <c:ptCount val="42"/>
                <c:pt idx="0">
                  <c:v>249.18830307400407</c:v>
                </c:pt>
                <c:pt idx="1">
                  <c:v>237.45977851865786</c:v>
                </c:pt>
                <c:pt idx="2">
                  <c:v>225.4442383920813</c:v>
                </c:pt>
                <c:pt idx="3">
                  <c:v>226.79764254235559</c:v>
                </c:pt>
                <c:pt idx="4">
                  <c:v>249.01487170376896</c:v>
                </c:pt>
                <c:pt idx="5">
                  <c:v>241.08118647723427</c:v>
                </c:pt>
                <c:pt idx="6">
                  <c:v>292.50791574587663</c:v>
                </c:pt>
                <c:pt idx="7">
                  <c:v>332.53935096951966</c:v>
                </c:pt>
                <c:pt idx="8">
                  <c:v>392.39611490144415</c:v>
                </c:pt>
                <c:pt idx="9">
                  <c:v>405.07151188095168</c:v>
                </c:pt>
                <c:pt idx="10">
                  <c:v>464.82674989317411</c:v>
                </c:pt>
                <c:pt idx="11">
                  <c:v>411.02433541047156</c:v>
                </c:pt>
                <c:pt idx="12">
                  <c:v>397.72441642211913</c:v>
                </c:pt>
                <c:pt idx="13">
                  <c:v>354.60769127093454</c:v>
                </c:pt>
                <c:pt idx="14">
                  <c:v>403.56010971859541</c:v>
                </c:pt>
                <c:pt idx="15">
                  <c:v>426.18286173121129</c:v>
                </c:pt>
                <c:pt idx="16">
                  <c:v>520.53315238765879</c:v>
                </c:pt>
                <c:pt idx="17">
                  <c:v>526.97675625482043</c:v>
                </c:pt>
                <c:pt idx="18">
                  <c:v>478.63744631810414</c:v>
                </c:pt>
                <c:pt idx="19">
                  <c:v>353.83979965119778</c:v>
                </c:pt>
                <c:pt idx="20">
                  <c:v>380.00595044413336</c:v>
                </c:pt>
                <c:pt idx="21">
                  <c:v>474.81457628774382</c:v>
                </c:pt>
                <c:pt idx="22">
                  <c:v>469.05167646871598</c:v>
                </c:pt>
                <c:pt idx="23">
                  <c:v>581.19189766814407</c:v>
                </c:pt>
                <c:pt idx="24">
                  <c:v>656.00557552410612</c:v>
                </c:pt>
                <c:pt idx="25">
                  <c:v>828.22264907893759</c:v>
                </c:pt>
                <c:pt idx="26">
                  <c:v>1110.1413446546903</c:v>
                </c:pt>
                <c:pt idx="27">
                  <c:v>1368.7391778803028</c:v>
                </c:pt>
                <c:pt idx="28">
                  <c:v>1537.3489427750405</c:v>
                </c:pt>
                <c:pt idx="29">
                  <c:v>1169.1587170293021</c:v>
                </c:pt>
                <c:pt idx="30">
                  <c:v>341.29506994704764</c:v>
                </c:pt>
                <c:pt idx="31">
                  <c:v>614.63775803543331</c:v>
                </c:pt>
                <c:pt idx="32">
                  <c:v>1141.9810049592513</c:v>
                </c:pt>
                <c:pt idx="33">
                  <c:v>1300.2878030343516</c:v>
                </c:pt>
                <c:pt idx="34">
                  <c:v>1330.8567918985757</c:v>
                </c:pt>
                <c:pt idx="35">
                  <c:v>1296.5031608043207</c:v>
                </c:pt>
              </c:numCache>
            </c:numRef>
          </c:val>
          <c:smooth val="0"/>
          <c:extLst>
            <c:ext xmlns:c16="http://schemas.microsoft.com/office/drawing/2014/chart" uri="{C3380CC4-5D6E-409C-BE32-E72D297353CC}">
              <c16:uniqueId val="{00000000-8D4A-4D2B-8A95-2F6A769246FF}"/>
            </c:ext>
          </c:extLst>
        </c:ser>
        <c:ser>
          <c:idx val="5"/>
          <c:order val="1"/>
          <c:tx>
            <c:strRef>
              <c:f>'Talnagögn | Numerical Data'!$G$252</c:f>
              <c:strCache>
                <c:ptCount val="1"/>
                <c:pt idx="0">
                  <c:v>Emission Projections: Government Policy-Based Scenario</c:v>
                </c:pt>
              </c:strCache>
            </c:strRef>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Data'!$I$255:$BV$255</c:f>
              <c:numCache>
                <c:formatCode>0</c:formatCode>
                <c:ptCount val="66"/>
                <c:pt idx="35">
                  <c:v>1296.5031608043207</c:v>
                </c:pt>
                <c:pt idx="36">
                  <c:v>1208.8129283964258</c:v>
                </c:pt>
                <c:pt idx="37">
                  <c:v>1221.2027689125266</c:v>
                </c:pt>
                <c:pt idx="38">
                  <c:v>1214.9795969353358</c:v>
                </c:pt>
                <c:pt idx="39">
                  <c:v>1227.1638563536319</c:v>
                </c:pt>
                <c:pt idx="40">
                  <c:v>1200.7267010960009</c:v>
                </c:pt>
                <c:pt idx="41">
                  <c:v>1209.521785135677</c:v>
                </c:pt>
                <c:pt idx="42">
                  <c:v>1220.6572257563585</c:v>
                </c:pt>
                <c:pt idx="43">
                  <c:v>1229.7380063790335</c:v>
                </c:pt>
                <c:pt idx="44">
                  <c:v>1236.707615350952</c:v>
                </c:pt>
                <c:pt idx="45">
                  <c:v>1100.1881832478432</c:v>
                </c:pt>
                <c:pt idx="46">
                  <c:v>1103.22152754433</c:v>
                </c:pt>
                <c:pt idx="47">
                  <c:v>1105.4744088263114</c:v>
                </c:pt>
                <c:pt idx="48">
                  <c:v>1106.7174344478367</c:v>
                </c:pt>
                <c:pt idx="49">
                  <c:v>1106.8626145601588</c:v>
                </c:pt>
                <c:pt idx="50">
                  <c:v>961.69566973913356</c:v>
                </c:pt>
                <c:pt idx="51">
                  <c:v>959.5536696811331</c:v>
                </c:pt>
                <c:pt idx="52">
                  <c:v>955.64238661361867</c:v>
                </c:pt>
                <c:pt idx="53">
                  <c:v>950.23443289076715</c:v>
                </c:pt>
                <c:pt idx="54">
                  <c:v>942.50797966355617</c:v>
                </c:pt>
                <c:pt idx="55">
                  <c:v>849.66551936624364</c:v>
                </c:pt>
                <c:pt idx="56">
                  <c:v>838.30256858685004</c:v>
                </c:pt>
                <c:pt idx="57">
                  <c:v>824.91867282285921</c:v>
                </c:pt>
                <c:pt idx="58">
                  <c:v>809.98773188166945</c:v>
                </c:pt>
                <c:pt idx="59">
                  <c:v>793.97562742080743</c:v>
                </c:pt>
                <c:pt idx="60">
                  <c:v>481.16415097029608</c:v>
                </c:pt>
                <c:pt idx="61">
                  <c:v>463.88750210274793</c:v>
                </c:pt>
                <c:pt idx="62">
                  <c:v>446.79106729048851</c:v>
                </c:pt>
                <c:pt idx="63">
                  <c:v>430.37960756293222</c:v>
                </c:pt>
                <c:pt idx="64">
                  <c:v>415.0154437380624</c:v>
                </c:pt>
                <c:pt idx="65">
                  <c:v>400.94821084612619</c:v>
                </c:pt>
              </c:numCache>
            </c:numRef>
          </c:val>
          <c:smooth val="0"/>
          <c:extLst>
            <c:ext xmlns:c16="http://schemas.microsoft.com/office/drawing/2014/chart" uri="{C3380CC4-5D6E-409C-BE32-E72D297353CC}">
              <c16:uniqueId val="{00000001-8D4A-4D2B-8A95-2F6A769246F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7575668718437241"/>
          <c:y val="0.38040277777777776"/>
          <c:w val="0.21421455977525064"/>
          <c:h val="0.25408680555555557"/>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702245142470178"/>
          <c:y val="0.10953703703703704"/>
          <c:w val="0.45587852268583634"/>
          <c:h val="0.81032407407407403"/>
        </c:manualLayout>
      </c:layout>
      <c:doughnutChart>
        <c:varyColors val="1"/>
        <c:ser>
          <c:idx val="0"/>
          <c:order val="0"/>
          <c:spPr>
            <a:solidFill>
              <a:schemeClr val="tx1">
                <a:lumMod val="75000"/>
                <a:lumOff val="25000"/>
              </a:schemeClr>
            </a:solidFill>
          </c:spPr>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C23D-4E7F-A421-5DA856CA3CE6}"/>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C23D-4E7F-A421-5DA856CA3CE6}"/>
              </c:ext>
            </c:extLst>
          </c:dPt>
          <c:dLbls>
            <c:dLbl>
              <c:idx val="0"/>
              <c:layout>
                <c:manualLayout>
                  <c:x val="0.18512661388591087"/>
                  <c:y val="0.1475949101374143"/>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6B3E904-6246-4BF0-B525-62DDAA9C844C}"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3A16D0F-3CE6-432E-B94A-C77FF515AD1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C00EED7-8876-471F-8CA2-F7669CC05AF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C23D-4E7F-A421-5DA856CA3CE6}"/>
                </c:ext>
              </c:extLst>
            </c:dLbl>
            <c:dLbl>
              <c:idx val="1"/>
              <c:layout>
                <c:manualLayout>
                  <c:x val="-0.20450323276579593"/>
                  <c:y val="-0.159709502798"/>
                </c:manualLayout>
              </c:layout>
              <c:tx>
                <c:rich>
                  <a:bodyPr/>
                  <a:lstStyle/>
                  <a:p>
                    <a:fld id="{AC3C7589-DE8E-4BED-81B0-6A23E9D1CD21}" type="CATEGORYNAME">
                      <a:rPr lang="en-US" sz="1000" b="1"/>
                      <a:pPr/>
                      <a:t>[CATEGORY NAME]</a:t>
                    </a:fld>
                    <a:endParaRPr lang="en-US" sz="1000" b="1" baseline="0"/>
                  </a:p>
                  <a:p>
                    <a:fld id="{78CC661D-84A4-40BD-965A-97A1964D361E}" type="VALUE">
                      <a:rPr lang="en-US" sz="1000"/>
                      <a:pPr/>
                      <a:t>[VALUE]</a:t>
                    </a:fld>
                    <a:r>
                      <a:rPr lang="en-US" sz="1000"/>
                      <a:t> þús.</a:t>
                    </a:r>
                    <a:r>
                      <a:rPr lang="en-US" sz="1000" baseline="0"/>
                      <a:t> tonn CO</a:t>
                    </a:r>
                    <a:r>
                      <a:rPr lang="en-US" sz="1000" baseline="-25000"/>
                      <a:t>2</a:t>
                    </a:r>
                    <a:r>
                      <a:rPr lang="en-US" sz="1000" baseline="0"/>
                      <a:t>-íg.</a:t>
                    </a:r>
                  </a:p>
                  <a:p>
                    <a:fld id="{B60F5778-ADB8-43D2-8D6D-22755D5038AE}"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C23D-4E7F-A421-5DA856CA3CE6}"/>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Emissions'!$E$834:$E$835</c:f>
              <c:strCache>
                <c:ptCount val="2"/>
                <c:pt idx="0">
                  <c:v>Alþjóðaflug</c:v>
                </c:pt>
                <c:pt idx="1">
                  <c:v>Alþjóðasiglingar</c:v>
                </c:pt>
              </c:strCache>
            </c:strRef>
          </c:cat>
          <c:val>
            <c:numRef>
              <c:f>'Losun | Emissions'!$F$834:$F$835</c:f>
              <c:numCache>
                <c:formatCode>0</c:formatCode>
                <c:ptCount val="2"/>
                <c:pt idx="0">
                  <c:v>1009.6475620140002</c:v>
                </c:pt>
                <c:pt idx="1">
                  <c:v>286.85559879032058</c:v>
                </c:pt>
              </c:numCache>
            </c:numRef>
          </c:val>
          <c:extLst>
            <c:ext xmlns:c16="http://schemas.microsoft.com/office/drawing/2014/chart" uri="{C3380CC4-5D6E-409C-BE32-E72D297353CC}">
              <c16:uniqueId val="{00000004-C23D-4E7F-A421-5DA856CA3CE6}"/>
            </c:ext>
          </c:extLst>
        </c:ser>
        <c:dLbls>
          <c:showLegendKey val="0"/>
          <c:showVal val="0"/>
          <c:showCatName val="0"/>
          <c:showSerName val="0"/>
          <c:showPercent val="0"/>
          <c:showBubbleSize val="0"/>
          <c:showLeaderLines val="1"/>
        </c:dLbls>
        <c:firstSliceAng val="0"/>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40024154589373E-2"/>
          <c:y val="3.4452246276592595E-2"/>
          <c:w val="0.62844444444444447"/>
          <c:h val="0.84650123456790127"/>
        </c:manualLayout>
      </c:layout>
      <c:areaChart>
        <c:grouping val="stacked"/>
        <c:varyColors val="0"/>
        <c:ser>
          <c:idx val="8"/>
          <c:order val="2"/>
          <c:tx>
            <c:v>Heildarlosun iðnaðar og vörunotkunar</c:v>
          </c:tx>
          <c:spPr>
            <a:solidFill>
              <a:srgbClr val="FFD44B">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Data'!$I$99:$AX$99</c15:sqref>
                  </c15:fullRef>
                </c:ext>
              </c:extLst>
              <c:f>'Talnagögn | Numerical Data'!$I$99:$AR$99</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0-3E3A-4088-A9EB-B46868BF2A14}"/>
            </c:ext>
          </c:extLst>
        </c:ser>
        <c:dLbls>
          <c:showLegendKey val="0"/>
          <c:showVal val="0"/>
          <c:showCatName val="0"/>
          <c:showSerName val="0"/>
          <c:showPercent val="0"/>
          <c:showBubbleSize val="0"/>
        </c:dLbls>
        <c:axId val="993243424"/>
        <c:axId val="439305608"/>
      </c:areaChart>
      <c:lineChart>
        <c:grouping val="standard"/>
        <c:varyColors val="0"/>
        <c:ser>
          <c:idx val="0"/>
          <c:order val="0"/>
          <c:tx>
            <c:strRef>
              <c:f>'Talnagögn | Numerical Data'!$E$90</c:f>
              <c:strCache>
                <c:ptCount val="1"/>
                <c:pt idx="0">
                  <c:v>Álframleiðsla</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1-3E3A-4088-A9EB-B46868BF2A14}"/>
            </c:ext>
          </c:extLst>
        </c:ser>
        <c:ser>
          <c:idx val="1"/>
          <c:order val="1"/>
          <c:tx>
            <c:strRef>
              <c:f>'Talnagögn | Numerical Data'!$E$91</c:f>
              <c:strCache>
                <c:ptCount val="1"/>
                <c:pt idx="0">
                  <c:v>Kísil- og kísilmálmframleiðsla</c:v>
                </c:pt>
              </c:strCache>
            </c:strRef>
          </c:tx>
          <c:spPr>
            <a:ln w="19050" cap="rnd">
              <a:solidFill>
                <a:srgbClr val="5B4346">
                  <a:lumMod val="60000"/>
                  <a:lumOff val="40000"/>
                </a:srgb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2-3E3A-4088-A9EB-B46868BF2A1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1446570048309177"/>
          <c:y val="0.30114884259259261"/>
          <c:w val="0.28553429951690823"/>
          <c:h val="0.35369004629629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userShapes r:id="rId4"/>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1595893719806759E-2"/>
          <c:y val="3.4452246276592595E-2"/>
          <c:w val="0.65746485507246377"/>
          <c:h val="0.84650123456790127"/>
        </c:manualLayout>
      </c:layout>
      <c:areaChart>
        <c:grouping val="stacked"/>
        <c:varyColors val="0"/>
        <c:ser>
          <c:idx val="8"/>
          <c:order val="0"/>
          <c:tx>
            <c:v>Heildarlosun landbúnaðar</c:v>
          </c:tx>
          <c:spPr>
            <a:solidFill>
              <a:srgbClr val="855092">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Data'!$I$149:$AX$149</c15:sqref>
                  </c15:fullRef>
                </c:ext>
              </c:extLst>
              <c:f>'Talnagögn | Numerical Data'!$I$149:$AR$149</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0-5195-4330-A909-A6BF0704F14C}"/>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Data'!$E$122</c:f>
              <c:strCache>
                <c:ptCount val="1"/>
                <c:pt idx="0">
                  <c:v>Tilbúinn áburður og kölkun</c:v>
                </c:pt>
              </c:strCache>
            </c:strRef>
          </c:tx>
          <c:spPr>
            <a:ln w="19050" cap="rnd">
              <a:solidFill>
                <a:srgbClr val="FF573C">
                  <a:lumMod val="60000"/>
                  <a:lumOff val="40000"/>
                </a:srgbClr>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1-5195-4330-A909-A6BF0704F14C}"/>
            </c:ext>
          </c:extLst>
        </c:ser>
        <c:ser>
          <c:idx val="1"/>
          <c:order val="2"/>
          <c:tx>
            <c:strRef>
              <c:f>'Talnagögn | Numerical Data'!$E$133</c:f>
              <c:strCache>
                <c:ptCount val="1"/>
                <c:pt idx="0">
                  <c:v>Nautgripir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2-5195-4330-A909-A6BF0704F14C}"/>
            </c:ext>
          </c:extLst>
        </c:ser>
        <c:ser>
          <c:idx val="2"/>
          <c:order val="3"/>
          <c:tx>
            <c:strRef>
              <c:f>'Talnagögn | Numerical Data'!$E$138</c:f>
              <c:strCache>
                <c:ptCount val="1"/>
                <c:pt idx="0">
                  <c:v>Sauðfé</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3-5195-4330-A909-A6BF0704F14C}"/>
            </c:ext>
          </c:extLst>
        </c:ser>
        <c:ser>
          <c:idx val="3"/>
          <c:order val="4"/>
          <c:tx>
            <c:strRef>
              <c:f>'Talnagögn | Numerical Data'!$E$121</c:f>
              <c:strCache>
                <c:ptCount val="1"/>
                <c:pt idx="0">
                  <c:v>Framræst land (N₂O)</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4-5195-4330-A909-A6BF0704F14C}"/>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max val="8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6572886473429946"/>
          <c:y val="0.34540532407407409"/>
          <c:w val="0.23427113526570048"/>
          <c:h val="0.33663171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sz="800">
          <a:solidFill>
            <a:sysClr val="windowText" lastClr="000000"/>
          </a:solidFill>
          <a:latin typeface="+mn-lt"/>
        </a:defRPr>
      </a:pPr>
      <a:endParaRPr lang="en-US"/>
    </a:p>
  </c:txPr>
  <c:printSettings>
    <c:headerFooter/>
    <c:pageMargins b="0.75" l="0.7" r="0.7" t="0.75" header="0.3" footer="0.3"/>
    <c:pageSetup/>
  </c:printSettings>
  <c:userShapes r:id="rId4"/>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96E-2"/>
          <c:y val="3.4452246276592595E-2"/>
          <c:w val="0.63895724637681151"/>
          <c:h val="0.84650123456790127"/>
        </c:manualLayout>
      </c:layout>
      <c:areaChart>
        <c:grouping val="stacked"/>
        <c:varyColors val="0"/>
        <c:ser>
          <c:idx val="8"/>
          <c:order val="0"/>
          <c:tx>
            <c:v>Heildarlosun úrgangs</c:v>
          </c:tx>
          <c:spPr>
            <a:solidFill>
              <a:srgbClr val="ED7D31">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Data'!$I$234:$AX$234</c15:sqref>
                  </c15:fullRef>
                </c:ext>
              </c:extLst>
              <c:f>'Talnagögn | Numerical Data'!$I$234:$AR$234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5="http://schemas.microsoft.com/office/drawing/2012/chart" uri="{02D57815-91ED-43cb-92C2-25804820EDAC}">
              <c15:categoryFilterExceptions>
                <c15:categoryFilterException>
                  <c15:sqref>'Talnagögn | Numerical Data'!$AX$234</c15:sqref>
                  <c15:spPr xmlns:c15="http://schemas.microsoft.com/office/drawing/2012/chart">
                    <a:solidFill>
                      <a:srgbClr val="ED7D31">
                        <a:alpha val="10000"/>
                      </a:srgbClr>
                    </a:solidFill>
                    <a:ln w="25400">
                      <a:noFill/>
                    </a:ln>
                    <a:effectLst/>
                  </c15:spPr>
                </c15:categoryFilterException>
              </c15:categoryFilterExceptions>
            </c:ext>
            <c:ext xmlns:c16="http://schemas.microsoft.com/office/drawing/2014/chart" uri="{C3380CC4-5D6E-409C-BE32-E72D297353CC}">
              <c16:uniqueId val="{00000000-7477-4C90-8232-970C96CF3154}"/>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Data'!$E$230</c:f>
              <c:strCache>
                <c:ptCount val="1"/>
                <c:pt idx="0">
                  <c:v>Urðun úrgangs</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1-7477-4C90-8232-970C96CF3154}"/>
            </c:ext>
          </c:extLst>
        </c:ser>
        <c:ser>
          <c:idx val="1"/>
          <c:order val="2"/>
          <c:tx>
            <c:strRef>
              <c:f>'Talnagögn | Numerical Data'!$E$233</c:f>
              <c:strCache>
                <c:ptCount val="1"/>
                <c:pt idx="0">
                  <c:v>Meðhöndlun skólps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2-7477-4C90-8232-970C96CF315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rgbClr val="FFFFFF">
                  <a:lumMod val="85000"/>
                </a:srgb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midCat"/>
      </c:valAx>
      <c:spPr>
        <a:noFill/>
        <a:ln>
          <a:noFill/>
        </a:ln>
        <a:effectLst/>
      </c:spPr>
    </c:plotArea>
    <c:legend>
      <c:legendPos val="r"/>
      <c:layout>
        <c:manualLayout>
          <c:xMode val="edge"/>
          <c:yMode val="edge"/>
          <c:x val="0.75228562801932364"/>
          <c:y val="0.38447129629629628"/>
          <c:w val="0.21090277777777777"/>
          <c:h val="0.237785296599784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4235845410628023"/>
          <c:h val="0.88088796296296301"/>
        </c:manualLayout>
      </c:layout>
      <c:areaChart>
        <c:grouping val="stacked"/>
        <c:varyColors val="0"/>
        <c:ser>
          <c:idx val="4"/>
          <c:order val="5"/>
          <c:tx>
            <c:v>Heildarlosun landnotkunar</c:v>
          </c:tx>
          <c:spPr>
            <a:solidFill>
              <a:srgbClr val="68A200">
                <a:alpha val="10000"/>
              </a:srgbClr>
            </a:solidFill>
            <a:ln>
              <a:noFill/>
            </a:ln>
            <a:effectLst/>
          </c:spP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Data'!$I$215:$AX$215</c15:sqref>
                  </c15:fullRef>
                </c:ext>
              </c:extLst>
              <c:f>'Talnagögn | Numerical Data'!$I$215:$AR$215</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447-4D28-A4C7-EFC0D686D079}"/>
            </c:ext>
          </c:extLst>
        </c:ser>
        <c:dLbls>
          <c:showLegendKey val="0"/>
          <c:showVal val="0"/>
          <c:showCatName val="0"/>
          <c:showSerName val="0"/>
          <c:showPercent val="0"/>
          <c:showBubbleSize val="0"/>
        </c:dLbls>
        <c:axId val="1137750560"/>
        <c:axId val="1137752720"/>
      </c:areaChart>
      <c:lineChart>
        <c:grouping val="standard"/>
        <c:varyColors val="0"/>
        <c:ser>
          <c:idx val="2"/>
          <c:order val="0"/>
          <c:tx>
            <c:strRef>
              <c:f>'Talnagögn | Numerical Data'!$E$212</c:f>
              <c:strCache>
                <c:ptCount val="1"/>
                <c:pt idx="0">
                  <c:v>Mólendi</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B447-4D28-A4C7-EFC0D686D079}"/>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B447-4D28-A4C7-EFC0D686D079}"/>
            </c:ext>
          </c:extLst>
        </c:ser>
        <c:ser>
          <c:idx val="3"/>
          <c:order val="2"/>
          <c:tx>
            <c:strRef>
              <c:f>'Talnagögn | Numerical Data'!$E$213</c:f>
              <c:strCache>
                <c:ptCount val="1"/>
                <c:pt idx="0">
                  <c:v>Votlendi</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B447-4D28-A4C7-EFC0D686D079}"/>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B447-4D28-A4C7-EFC0D686D079}"/>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5-B447-4D28-A4C7-EFC0D686D079}"/>
            </c:ext>
          </c:extLst>
        </c:ser>
        <c:dLbls>
          <c:showLegendKey val="0"/>
          <c:showVal val="0"/>
          <c:showCatName val="0"/>
          <c:showSerName val="0"/>
          <c:showPercent val="0"/>
          <c:showBubbleSize val="0"/>
        </c:dLbls>
        <c:marker val="1"/>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ayout>
        <c:manualLayout>
          <c:xMode val="edge"/>
          <c:yMode val="edge"/>
          <c:x val="0.74587237374429471"/>
          <c:y val="0.28857638888888887"/>
          <c:w val="0.25412762625570523"/>
          <c:h val="0.426277777777777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tx1"/>
            </a:solidFill>
            <a:ln>
              <a:noFill/>
            </a:ln>
            <a:effectLst/>
          </c:spPr>
          <c:invertIfNegative val="0"/>
          <c:dPt>
            <c:idx val="0"/>
            <c:invertIfNegative val="0"/>
            <c:bubble3D val="0"/>
            <c:spPr>
              <a:solidFill>
                <a:srgbClr val="3C7290"/>
              </a:solidFill>
              <a:ln>
                <a:noFill/>
              </a:ln>
              <a:effectLst/>
            </c:spPr>
            <c:extLst>
              <c:ext xmlns:c16="http://schemas.microsoft.com/office/drawing/2014/chart" uri="{C3380CC4-5D6E-409C-BE32-E72D297353CC}">
                <c16:uniqueId val="{00000001-BBA6-45CA-8629-A300A66D916F}"/>
              </c:ext>
            </c:extLst>
          </c:dPt>
          <c:dPt>
            <c:idx val="1"/>
            <c:invertIfNegative val="0"/>
            <c:bubble3D val="0"/>
            <c:spPr>
              <a:solidFill>
                <a:schemeClr val="accent6"/>
              </a:solidFill>
              <a:ln>
                <a:noFill/>
              </a:ln>
              <a:effectLst/>
            </c:spPr>
            <c:extLst>
              <c:ext xmlns:c16="http://schemas.microsoft.com/office/drawing/2014/chart" uri="{C3380CC4-5D6E-409C-BE32-E72D297353CC}">
                <c16:uniqueId val="{00000003-BBA6-45CA-8629-A300A66D916F}"/>
              </c:ext>
            </c:extLst>
          </c:dPt>
          <c:dPt>
            <c:idx val="2"/>
            <c:invertIfNegative val="0"/>
            <c:bubble3D val="0"/>
            <c:spPr>
              <a:solidFill>
                <a:srgbClr val="66D7C7"/>
              </a:solidFill>
              <a:ln>
                <a:noFill/>
              </a:ln>
              <a:effectLst/>
            </c:spPr>
            <c:extLst>
              <c:ext xmlns:c16="http://schemas.microsoft.com/office/drawing/2014/chart" uri="{C3380CC4-5D6E-409C-BE32-E72D297353CC}">
                <c16:uniqueId val="{00000005-BBA6-45CA-8629-A300A66D916F}"/>
              </c:ext>
            </c:extLst>
          </c:dPt>
          <c:dPt>
            <c:idx val="3"/>
            <c:invertIfNegative val="0"/>
            <c:bubble3D val="0"/>
            <c:spPr>
              <a:solidFill>
                <a:schemeClr val="tx1"/>
              </a:solidFill>
              <a:ln>
                <a:noFill/>
              </a:ln>
              <a:effectLst/>
            </c:spPr>
            <c:extLst>
              <c:ext xmlns:c16="http://schemas.microsoft.com/office/drawing/2014/chart" uri="{C3380CC4-5D6E-409C-BE32-E72D297353CC}">
                <c16:uniqueId val="{00000007-BBA6-45CA-8629-A300A66D916F}"/>
              </c:ext>
            </c:extLst>
          </c:dPt>
          <c:dPt>
            <c:idx val="4"/>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9-BBA6-45CA-8629-A300A66D916F}"/>
              </c:ext>
            </c:extLst>
          </c:dPt>
          <c:cat>
            <c:strRef>
              <c:f>'Losun | Emissions'!$Y$624:$Y$628</c:f>
              <c:strCache>
                <c:ptCount val="5"/>
                <c:pt idx="0">
                  <c:v>Forest Land</c:v>
                </c:pt>
                <c:pt idx="1">
                  <c:v>Cropland</c:v>
                </c:pt>
                <c:pt idx="2">
                  <c:v>Grassland</c:v>
                </c:pt>
                <c:pt idx="3">
                  <c:v>Wetlands</c:v>
                </c:pt>
                <c:pt idx="4">
                  <c:v>Other Emissions</c:v>
                </c:pt>
              </c:strCache>
            </c:strRef>
          </c:cat>
          <c:val>
            <c:numRef>
              <c:f>'Losun | Emissions'!$F$624:$F$628</c:f>
              <c:numCache>
                <c:formatCode>0</c:formatCode>
                <c:ptCount val="5"/>
                <c:pt idx="0">
                  <c:v>-569.03313713696218</c:v>
                </c:pt>
                <c:pt idx="1">
                  <c:v>1574.5549406841444</c:v>
                </c:pt>
                <c:pt idx="2">
                  <c:v>5024.8635353547543</c:v>
                </c:pt>
                <c:pt idx="3">
                  <c:v>17.192248584685633</c:v>
                </c:pt>
                <c:pt idx="4">
                  <c:v>32.763450946138619</c:v>
                </c:pt>
              </c:numCache>
            </c:numRef>
          </c:val>
          <c:extLst>
            <c:ext xmlns:c16="http://schemas.microsoft.com/office/drawing/2014/chart" uri="{C3380CC4-5D6E-409C-BE32-E72D297353CC}">
              <c16:uniqueId val="{0000000A-BBA6-45CA-8629-A300A66D916F}"/>
            </c:ext>
          </c:extLst>
        </c:ser>
        <c:dLbls>
          <c:showLegendKey val="0"/>
          <c:showVal val="0"/>
          <c:showCatName val="0"/>
          <c:showSerName val="0"/>
          <c:showPercent val="0"/>
          <c:showBubbleSize val="0"/>
        </c:dLbls>
        <c:gapWidth val="182"/>
        <c:axId val="1441199688"/>
        <c:axId val="1441200768"/>
        <c:extLst/>
      </c:barChart>
      <c:catAx>
        <c:axId val="1441199688"/>
        <c:scaling>
          <c:orientation val="minMax"/>
        </c:scaling>
        <c:delete val="0"/>
        <c:axPos val="l"/>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441200768"/>
        <c:crosses val="autoZero"/>
        <c:auto val="1"/>
        <c:lblAlgn val="ctr"/>
        <c:lblOffset val="100"/>
        <c:noMultiLvlLbl val="0"/>
      </c:catAx>
      <c:valAx>
        <c:axId val="144120076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b="0" i="0" u="none" strike="noStrike" kern="1200" baseline="0">
                    <a:solidFill>
                      <a:sysClr val="windowText" lastClr="000000"/>
                    </a:solidFill>
                  </a:rPr>
                  <a:t>Greenhouse Gas Emissions (kt CO</a:t>
                </a:r>
                <a:r>
                  <a:rPr lang="en-US" sz="1050" b="0" i="0" u="none" strike="noStrike" kern="1200" baseline="-25000">
                    <a:solidFill>
                      <a:sysClr val="windowText" lastClr="000000"/>
                    </a:solidFill>
                    <a:latin typeface="Aptos Narrow" panose="020B0004020202020204" pitchFamily="34" charset="0"/>
                  </a:rPr>
                  <a:t>₂</a:t>
                </a:r>
                <a:r>
                  <a:rPr lang="en-US" sz="1050" b="0" i="0" u="none" strike="noStrike" kern="1200" baseline="0">
                    <a:solidFill>
                      <a:sysClr val="windowText" lastClr="000000"/>
                    </a:solidFill>
                  </a:rPr>
                  <a:t>e)</a:t>
                </a:r>
              </a:p>
            </c:rich>
          </c:tx>
          <c:layout>
            <c:manualLayout>
              <c:xMode val="edge"/>
              <c:yMode val="edge"/>
              <c:x val="0.31093177083333334"/>
              <c:y val="0.9491706018518518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199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4038425925925918E-2"/>
          <c:w val="0.62618737701709049"/>
          <c:h val="0.83755555555555561"/>
        </c:manualLayout>
      </c:layout>
      <c:barChart>
        <c:barDir val="col"/>
        <c:grouping val="stacked"/>
        <c:varyColors val="0"/>
        <c:ser>
          <c:idx val="0"/>
          <c:order val="0"/>
          <c:tx>
            <c:strRef>
              <c:f>'Talnagögn | Numerical Data'!$G$210</c:f>
              <c:strCache>
                <c:ptCount val="1"/>
                <c:pt idx="0">
                  <c:v>Forest Land</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47C4-42C9-9C5C-9F54DAA0A304}"/>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47C4-42C9-9C5C-9F54DAA0A304}"/>
            </c:ext>
          </c:extLst>
        </c:ser>
        <c:ser>
          <c:idx val="1"/>
          <c:order val="2"/>
          <c:tx>
            <c:strRef>
              <c:f>'Talnagögn | Numerical Data'!$G$211</c:f>
              <c:strCache>
                <c:ptCount val="1"/>
                <c:pt idx="0">
                  <c:v>Cropland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47C4-42C9-9C5C-9F54DAA0A304}"/>
            </c:ext>
          </c:extLst>
        </c:ser>
        <c:ser>
          <c:idx val="3"/>
          <c:order val="3"/>
          <c:tx>
            <c:strRef>
              <c:f>'Talnagögn | Numerical Data'!$G$213</c:f>
              <c:strCache>
                <c:ptCount val="1"/>
                <c:pt idx="0">
                  <c:v>Wetlands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47C4-42C9-9C5C-9F54DAA0A304}"/>
            </c:ext>
          </c:extLst>
        </c:ser>
        <c:ser>
          <c:idx val="5"/>
          <c:order val="4"/>
          <c:tx>
            <c:strRef>
              <c:f>'Talnagögn | Numerical Data'!$G$214</c:f>
              <c:strCache>
                <c:ptCount val="1"/>
                <c:pt idx="0">
                  <c:v>Other Emissions</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47C4-42C9-9C5C-9F54DAA0A304}"/>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7.862726836564771E-4"/>
              <c:y val="0.180189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913454069319496"/>
          <c:y val="0.32385416666666667"/>
          <c:w val="0.15968043478260868"/>
          <c:h val="0.3552314814814814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1098611111111114E-2"/>
          <c:w val="0.63098462128115418"/>
          <c:h val="0.84049537037037036"/>
        </c:manualLayout>
      </c:layout>
      <c:barChart>
        <c:barDir val="col"/>
        <c:grouping val="stacked"/>
        <c:varyColors val="0"/>
        <c:ser>
          <c:idx val="0"/>
          <c:order val="0"/>
          <c:tx>
            <c:strRef>
              <c:f>'Talnagögn | Numerical Data'!$G$210</c:f>
              <c:strCache>
                <c:ptCount val="1"/>
                <c:pt idx="0">
                  <c:v>Forest Land</c:v>
                </c:pt>
              </c:strCache>
            </c:strRef>
          </c:tx>
          <c:spPr>
            <a:solidFill>
              <a:srgbClr val="3C7290"/>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6AAC-483C-9A51-CD6C2F120186}"/>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6AAC-483C-9A51-CD6C2F120186}"/>
            </c:ext>
          </c:extLst>
        </c:ser>
        <c:ser>
          <c:idx val="1"/>
          <c:order val="2"/>
          <c:tx>
            <c:strRef>
              <c:f>'Talnagögn | Numerical Data'!$G$211</c:f>
              <c:strCache>
                <c:ptCount val="1"/>
                <c:pt idx="0">
                  <c:v>Cropland</c:v>
                </c:pt>
              </c:strCache>
            </c:strRef>
          </c:tx>
          <c:spPr>
            <a:solidFill>
              <a:srgbClr val="FFBB8D"/>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6AAC-483C-9A51-CD6C2F120186}"/>
            </c:ext>
          </c:extLst>
        </c:ser>
        <c:ser>
          <c:idx val="3"/>
          <c:order val="3"/>
          <c:tx>
            <c:strRef>
              <c:f>'Talnagögn | Numerical Data'!$G$213</c:f>
              <c:strCache>
                <c:ptCount val="1"/>
                <c:pt idx="0">
                  <c:v>Wetlands</c:v>
                </c:pt>
              </c:strCache>
            </c:strRef>
          </c:tx>
          <c:spPr>
            <a:solidFill>
              <a:schemeClr val="tx1"/>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6AAC-483C-9A51-CD6C2F120186}"/>
            </c:ext>
          </c:extLst>
        </c:ser>
        <c:ser>
          <c:idx val="5"/>
          <c:order val="4"/>
          <c:tx>
            <c:strRef>
              <c:f>'Talnagögn | Numerical Data'!$G$214</c:f>
              <c:strCache>
                <c:ptCount val="1"/>
                <c:pt idx="0">
                  <c:v>Other Emissions</c:v>
                </c:pt>
              </c:strCache>
            </c:strRef>
          </c:tx>
          <c:spPr>
            <a:solidFill>
              <a:schemeClr val="accent5">
                <a:lumMod val="40000"/>
                <a:lumOff val="6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6AAC-483C-9A51-CD6C2F120186}"/>
            </c:ext>
          </c:extLst>
        </c:ser>
        <c:ser>
          <c:idx val="4"/>
          <c:order val="5"/>
          <c:tx>
            <c:v>Forestry WEM</c:v>
          </c:tx>
          <c:spPr>
            <a:solidFill>
              <a:srgbClr val="3C7290">
                <a:alpha val="20000"/>
              </a:srgbClr>
            </a:solidFill>
            <a:ln>
              <a:noFill/>
            </a:ln>
            <a:effectLst/>
          </c:spPr>
          <c:invertIfNegative val="0"/>
          <c:dPt>
            <c:idx val="33"/>
            <c:invertIfNegative val="0"/>
            <c:bubble3D val="0"/>
            <c:spPr>
              <a:solidFill>
                <a:srgbClr val="3C7290">
                  <a:alpha val="20000"/>
                </a:srgbClr>
              </a:solidFill>
              <a:ln>
                <a:noFill/>
              </a:ln>
              <a:effectLst/>
            </c:spPr>
            <c:extLst>
              <c:ext xmlns:c16="http://schemas.microsoft.com/office/drawing/2014/chart" uri="{C3380CC4-5D6E-409C-BE32-E72D297353CC}">
                <c16:uniqueId val="{00000006-6AAC-483C-9A51-CD6C2F120186}"/>
              </c:ext>
            </c:extLst>
          </c:dPt>
          <c:dPt>
            <c:idx val="35"/>
            <c:invertIfNegative val="0"/>
            <c:bubble3D val="0"/>
            <c:spPr>
              <a:noFill/>
              <a:ln>
                <a:noFill/>
              </a:ln>
              <a:effectLst/>
            </c:spPr>
            <c:extLst>
              <c:ext xmlns:c16="http://schemas.microsoft.com/office/drawing/2014/chart" uri="{C3380CC4-5D6E-409C-BE32-E72D297353CC}">
                <c16:uniqueId val="{00000003-AA00-428B-8638-C771F93DBC61}"/>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extLst>
            <c:ext xmlns:c16="http://schemas.microsoft.com/office/drawing/2014/chart" uri="{C3380CC4-5D6E-409C-BE32-E72D297353CC}">
              <c16:uniqueId val="{00000009-6AAC-483C-9A51-CD6C2F120186}"/>
            </c:ext>
          </c:extLst>
        </c:ser>
        <c:ser>
          <c:idx val="7"/>
          <c:order val="6"/>
          <c:tx>
            <c:v>Mólendi WEM</c:v>
          </c:tx>
          <c:spPr>
            <a:solidFill>
              <a:srgbClr val="66D7C7">
                <a:alpha val="30196"/>
              </a:srgbClr>
            </a:solidFill>
            <a:ln>
              <a:noFill/>
            </a:ln>
            <a:effectLst/>
          </c:spPr>
          <c:invertIfNegative val="0"/>
          <c:dPt>
            <c:idx val="33"/>
            <c:invertIfNegative val="0"/>
            <c:bubble3D val="0"/>
            <c:spPr>
              <a:solidFill>
                <a:srgbClr val="66D7C7">
                  <a:alpha val="30196"/>
                </a:srgbClr>
              </a:solidFill>
              <a:ln>
                <a:noFill/>
              </a:ln>
              <a:effectLst/>
            </c:spPr>
            <c:extLst>
              <c:ext xmlns:c16="http://schemas.microsoft.com/office/drawing/2014/chart" uri="{C3380CC4-5D6E-409C-BE32-E72D297353CC}">
                <c16:uniqueId val="{0000000B-6AAC-483C-9A51-CD6C2F120186}"/>
              </c:ext>
            </c:extLst>
          </c:dPt>
          <c:dPt>
            <c:idx val="35"/>
            <c:invertIfNegative val="0"/>
            <c:bubble3D val="0"/>
            <c:spPr>
              <a:noFill/>
              <a:ln>
                <a:noFill/>
              </a:ln>
              <a:effectLst/>
            </c:spPr>
            <c:extLst>
              <c:ext xmlns:c16="http://schemas.microsoft.com/office/drawing/2014/chart" uri="{C3380CC4-5D6E-409C-BE32-E72D297353CC}">
                <c16:uniqueId val="{00000007-AA00-428B-8638-C771F93DBC61}"/>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extLst>
            <c:ext xmlns:c16="http://schemas.microsoft.com/office/drawing/2014/chart" uri="{C3380CC4-5D6E-409C-BE32-E72D297353CC}">
              <c16:uniqueId val="{0000000E-6AAC-483C-9A51-CD6C2F120186}"/>
            </c:ext>
          </c:extLst>
        </c:ser>
        <c:ser>
          <c:idx val="6"/>
          <c:order val="7"/>
          <c:tx>
            <c:v>Ræktað land WEM</c:v>
          </c:tx>
          <c:spPr>
            <a:solidFill>
              <a:schemeClr val="accent6">
                <a:lumMod val="60000"/>
                <a:lumOff val="40000"/>
                <a:alpha val="4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extLst>
            <c:ext xmlns:c16="http://schemas.microsoft.com/office/drawing/2014/chart" uri="{C3380CC4-5D6E-409C-BE32-E72D297353CC}">
              <c16:uniqueId val="{0000000F-6AAC-483C-9A51-CD6C2F120186}"/>
            </c:ext>
          </c:extLst>
        </c:ser>
        <c:ser>
          <c:idx val="8"/>
          <c:order val="8"/>
          <c:tx>
            <c:v>Votlendi WEM</c:v>
          </c:tx>
          <c:spPr>
            <a:solidFill>
              <a:srgbClr val="0073B4">
                <a:alpha val="20000"/>
              </a:srgb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extLst>
            <c:ext xmlns:c16="http://schemas.microsoft.com/office/drawing/2014/chart" uri="{C3380CC4-5D6E-409C-BE32-E72D297353CC}">
              <c16:uniqueId val="{00000010-6AAC-483C-9A51-CD6C2F120186}"/>
            </c:ext>
          </c:extLst>
        </c:ser>
        <c:ser>
          <c:idx val="9"/>
          <c:order val="9"/>
          <c:tx>
            <c:v>Annað WEM</c:v>
          </c:tx>
          <c:spPr>
            <a:solidFill>
              <a:schemeClr val="accent4">
                <a:alpha val="2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extLst>
            <c:ext xmlns:c16="http://schemas.microsoft.com/office/drawing/2014/chart" uri="{C3380CC4-5D6E-409C-BE32-E72D297353CC}">
              <c16:uniqueId val="{00000011-6AAC-483C-9A51-CD6C2F120186}"/>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5352545397803483"/>
          <c:y val="0.32385416666666667"/>
          <c:w val="0.18652084013272238"/>
          <c:h val="0.3405324074074074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220436119397755"/>
          <c:y val="0.10661808042666963"/>
          <c:w val="0.45900478705856451"/>
          <c:h val="0.81391238497531904"/>
        </c:manualLayout>
      </c:layout>
      <c:doughnutChart>
        <c:varyColors val="1"/>
        <c:ser>
          <c:idx val="0"/>
          <c:order val="0"/>
          <c:spPr>
            <a:solidFill>
              <a:schemeClr val="tx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9883-4D4A-8D45-DC1218EE6946}"/>
              </c:ext>
            </c:extLst>
          </c:dPt>
          <c:dPt>
            <c:idx val="1"/>
            <c:bubble3D val="0"/>
            <c:spPr>
              <a:solidFill>
                <a:srgbClr val="99E5DA"/>
              </a:solidFill>
              <a:ln w="19050">
                <a:noFill/>
              </a:ln>
              <a:effectLst/>
            </c:spPr>
            <c:extLst>
              <c:ext xmlns:c16="http://schemas.microsoft.com/office/drawing/2014/chart" uri="{C3380CC4-5D6E-409C-BE32-E72D297353CC}">
                <c16:uniqueId val="{00000003-9883-4D4A-8D45-DC1218EE6946}"/>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9883-4D4A-8D45-DC1218EE6946}"/>
              </c:ext>
            </c:extLst>
          </c:dPt>
          <c:dPt>
            <c:idx val="3"/>
            <c:bubble3D val="0"/>
            <c:spPr>
              <a:solidFill>
                <a:srgbClr val="FFBCB1"/>
              </a:solidFill>
              <a:ln w="19050">
                <a:solidFill>
                  <a:schemeClr val="lt1"/>
                </a:solidFill>
              </a:ln>
              <a:effectLst/>
            </c:spPr>
            <c:extLst>
              <c:ext xmlns:c16="http://schemas.microsoft.com/office/drawing/2014/chart" uri="{C3380CC4-5D6E-409C-BE32-E72D297353CC}">
                <c16:uniqueId val="{00000007-9883-4D4A-8D45-DC1218EE6946}"/>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9883-4D4A-8D45-DC1218EE6946}"/>
              </c:ext>
            </c:extLst>
          </c:dPt>
          <c:dPt>
            <c:idx val="5"/>
            <c:bubble3D val="0"/>
            <c:spPr>
              <a:solidFill>
                <a:srgbClr val="3C7290"/>
              </a:solidFill>
              <a:ln w="19050">
                <a:solidFill>
                  <a:schemeClr val="lt1"/>
                </a:solidFill>
              </a:ln>
              <a:effectLst/>
            </c:spPr>
            <c:extLst>
              <c:ext xmlns:c16="http://schemas.microsoft.com/office/drawing/2014/chart" uri="{C3380CC4-5D6E-409C-BE32-E72D297353CC}">
                <c16:uniqueId val="{0000000B-9883-4D4A-8D45-DC1218EE6946}"/>
              </c:ext>
            </c:extLst>
          </c:dPt>
          <c:dPt>
            <c:idx val="6"/>
            <c:bubble3D val="0"/>
            <c:spPr>
              <a:solidFill>
                <a:srgbClr val="BDB4B5"/>
              </a:solidFill>
              <a:ln w="19050">
                <a:noFill/>
              </a:ln>
              <a:effectLst/>
            </c:spPr>
            <c:extLst>
              <c:ext xmlns:c16="http://schemas.microsoft.com/office/drawing/2014/chart" uri="{C3380CC4-5D6E-409C-BE32-E72D297353CC}">
                <c16:uniqueId val="{0000000D-3A7E-42BC-974E-E6976EB2B85B}"/>
              </c:ext>
            </c:extLst>
          </c:dPt>
          <c:dLbls>
            <c:dLbl>
              <c:idx val="0"/>
              <c:layout>
                <c:manualLayout>
                  <c:x val="0.18359133068008138"/>
                  <c:y val="0.14464153512433597"/>
                </c:manualLayout>
              </c:layout>
              <c:tx>
                <c:rich>
                  <a:bodyPr/>
                  <a:lstStyle/>
                  <a:p>
                    <a:fld id="{34DAF53F-51F3-4623-A22B-BED16E9367C7}" type="CATEGORYNAME">
                      <a:rPr lang="en-US" sz="1050" b="1"/>
                      <a:pPr/>
                      <a:t>[CATEGORY NAME]</a:t>
                    </a:fld>
                    <a:endParaRPr lang="en-US" sz="1050" b="1" baseline="0"/>
                  </a:p>
                  <a:p>
                    <a:fld id="{5766F8D3-1A7A-4383-A749-884F235D4508}" type="VALUE">
                      <a:rPr lang="en-US" sz="1050"/>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fld id="{4E30AAF7-2029-4C93-8DB2-FA685D610CF7}" type="PERCENTAGE">
                      <a:rPr lang="en-US" sz="105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2312314358334509"/>
                      <c:h val="0.17768263888888888"/>
                    </c:manualLayout>
                  </c15:layout>
                  <c15:dlblFieldTable/>
                  <c15:showDataLabelsRange val="0"/>
                </c:ext>
                <c:ext xmlns:c16="http://schemas.microsoft.com/office/drawing/2014/chart" uri="{C3380CC4-5D6E-409C-BE32-E72D297353CC}">
                  <c16:uniqueId val="{00000001-9883-4D4A-8D45-DC1218EE6946}"/>
                </c:ext>
              </c:extLst>
            </c:dLbl>
            <c:dLbl>
              <c:idx val="1"/>
              <c:layout>
                <c:manualLayout>
                  <c:x val="-0.22663859878858936"/>
                  <c:y val="3.9918304611635487E-2"/>
                </c:manualLayout>
              </c:layout>
              <c:tx>
                <c:rich>
                  <a:bodyPr/>
                  <a:lstStyle/>
                  <a:p>
                    <a:fld id="{552F69B7-F178-43AC-AFD5-64B169D4AEF4}" type="CATEGORYNAME">
                      <a:rPr lang="en-US" sz="1200" b="1"/>
                      <a:pPr/>
                      <a:t>[CATEGORY NAME]</a:t>
                    </a:fld>
                    <a:endParaRPr lang="en-US" b="1" baseline="0"/>
                  </a:p>
                  <a:p>
                    <a:fld id="{FF15A204-B7C9-4B93-96A3-9BCD6F9F6A7F}"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27334245-3277-4C2C-BD7F-C7CFBA0A7330}"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9883-4D4A-8D45-DC1218EE6946}"/>
                </c:ext>
              </c:extLst>
            </c:dLbl>
            <c:dLbl>
              <c:idx val="2"/>
              <c:layout>
                <c:manualLayout>
                  <c:x val="-0.15469510869565217"/>
                  <c:y val="-0.16649212962962964"/>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331F82BD-6FBD-4D59-A13E-B1A5DCEC0915}" type="CATEGORYNAME">
                      <a:rPr lang="en-US" sz="1050" b="1">
                        <a:solidFill>
                          <a:sysClr val="windowText" lastClr="000000"/>
                        </a:solidFill>
                      </a:rPr>
                      <a:pPr>
                        <a:defRPr sz="1050">
                          <a:solidFill>
                            <a:sysClr val="windowText" lastClr="000000"/>
                          </a:solidFill>
                        </a:defRPr>
                      </a:pPr>
                      <a:t>[CATEGORY NAME]</a:t>
                    </a:fld>
                    <a:endParaRPr lang="en-US" sz="1050" b="1" baseline="0">
                      <a:solidFill>
                        <a:sysClr val="windowText" lastClr="000000"/>
                      </a:solidFill>
                    </a:endParaRPr>
                  </a:p>
                  <a:p>
                    <a:pPr>
                      <a:defRPr sz="1050">
                        <a:solidFill>
                          <a:sysClr val="windowText" lastClr="000000"/>
                        </a:solidFill>
                      </a:defRPr>
                    </a:pPr>
                    <a:fld id="{3875F0E8-38BF-423D-B974-C0E4A7DF872A}"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BEEC1B1E-8E29-47F0-8663-CB8D517E664B}" type="PERCENTAGE">
                      <a:rPr lang="en-US" sz="1050"/>
                      <a:pPr>
                        <a:defRPr sz="105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590362318840576"/>
                      <c:h val="0.16730601851851851"/>
                    </c:manualLayout>
                  </c15:layout>
                  <c15:dlblFieldTable/>
                  <c15:showDataLabelsRange val="0"/>
                </c:ext>
                <c:ext xmlns:c16="http://schemas.microsoft.com/office/drawing/2014/chart" uri="{C3380CC4-5D6E-409C-BE32-E72D297353CC}">
                  <c16:uniqueId val="{00000005-9883-4D4A-8D45-DC1218EE6946}"/>
                </c:ext>
              </c:extLst>
            </c:dLbl>
            <c:dLbl>
              <c:idx val="3"/>
              <c:layout>
                <c:manualLayout>
                  <c:x val="0.18937748983846009"/>
                  <c:y val="-0.18582693803298916"/>
                </c:manualLayout>
              </c:layout>
              <c:tx>
                <c:rich>
                  <a:bodyPr/>
                  <a:lstStyle/>
                  <a:p>
                    <a:fld id="{E431A23E-6757-476D-9FDD-5D912A8E5A6A}" type="CATEGORYNAME">
                      <a:rPr lang="en-US" sz="1050" b="1"/>
                      <a:pPr/>
                      <a:t>[CATEGORY NAME]</a:t>
                    </a:fld>
                    <a:endParaRPr lang="en-US" sz="1050" b="1" baseline="0"/>
                  </a:p>
                  <a:p>
                    <a:fld id="{8FE61726-2D5C-4F5A-9F21-CA71D52188EF}" type="VALUE">
                      <a:rPr lang="en-US"/>
                      <a:pPr/>
                      <a:t>[VALUE]</a:t>
                    </a:fld>
                    <a:r>
                      <a:rPr lang="en-US" sz="1050" b="0" i="0" u="none" strike="noStrike" kern="1200" baseline="0">
                        <a:solidFill>
                          <a:sysClr val="windowText" lastClr="000000"/>
                        </a:solidFill>
                      </a:rPr>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D1845BDD-DB66-4885-BA15-96D40AA91F8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4920458132688897"/>
                      <c:h val="0.16922883291500693"/>
                    </c:manualLayout>
                  </c15:layout>
                  <c15:dlblFieldTable/>
                  <c15:showDataLabelsRange val="0"/>
                </c:ext>
                <c:ext xmlns:c16="http://schemas.microsoft.com/office/drawing/2014/chart" uri="{C3380CC4-5D6E-409C-BE32-E72D297353CC}">
                  <c16:uniqueId val="{00000007-9883-4D4A-8D45-DC1218EE6946}"/>
                </c:ext>
              </c:extLst>
            </c:dLbl>
            <c:dLbl>
              <c:idx val="4"/>
              <c:layout>
                <c:manualLayout>
                  <c:x val="0.28083025747724055"/>
                  <c:y val="-0.10992910870863593"/>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87215C9E-3D47-4BB4-AEDE-05CAD6E99EE3}" type="CATEGORYNAME">
                      <a:rPr lang="en-US" b="1"/>
                      <a:pPr>
                        <a:defRPr sz="1050">
                          <a:solidFill>
                            <a:sysClr val="windowText" lastClr="000000"/>
                          </a:solidFill>
                        </a:defRPr>
                      </a:pPr>
                      <a:t>[CATEGORY NAME]</a:t>
                    </a:fld>
                    <a:r>
                      <a:rPr lang="en-US" baseline="0"/>
                      <a:t>
</a:t>
                    </a:r>
                    <a:fld id="{B7FF16B9-9A90-4D34-BEEC-C32A915B05FB}" type="VALUE">
                      <a:rPr lang="en-US" baseline="0"/>
                      <a:pPr>
                        <a:defRPr sz="1050">
                          <a:solidFill>
                            <a:sysClr val="windowText" lastClr="000000"/>
                          </a:solidFill>
                        </a:defRPr>
                      </a:pPr>
                      <a:t>[VALUE]</a:t>
                    </a:fld>
                    <a:r>
                      <a:rPr lang="en-US" baseline="0"/>
                      <a:t> þús. tonn CO</a:t>
                    </a:r>
                    <a:r>
                      <a:rPr lang="en-US" baseline="-25000"/>
                      <a:t>2</a:t>
                    </a:r>
                    <a:r>
                      <a:rPr lang="en-US" baseline="0"/>
                      <a:t>-íg.
</a:t>
                    </a:r>
                    <a:fld id="{01F1C76D-0572-454D-9E1E-FB3C8BE63BEA}" type="PERCENTAGE">
                      <a:rPr lang="en-US" baseline="0"/>
                      <a:pPr>
                        <a:defRPr sz="1050">
                          <a:solidFill>
                            <a:sysClr val="windowText" lastClr="000000"/>
                          </a:solidFill>
                        </a:defRPr>
                      </a:pPr>
                      <a:t>[PERCENTAGE]</a:t>
                    </a:fld>
                    <a:endParaRPr lang="en-US" baseline="0"/>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67182593763836"/>
                      <c:h val="0.13468830687883912"/>
                    </c:manualLayout>
                  </c15:layout>
                  <c15:dlblFieldTable/>
                  <c15:showDataLabelsRange val="0"/>
                </c:ext>
                <c:ext xmlns:c16="http://schemas.microsoft.com/office/drawing/2014/chart" uri="{C3380CC4-5D6E-409C-BE32-E72D297353CC}">
                  <c16:uniqueId val="{00000009-9883-4D4A-8D45-DC1218EE6946}"/>
                </c:ext>
              </c:extLst>
            </c:dLbl>
            <c:dLbl>
              <c:idx val="5"/>
              <c:layout>
                <c:manualLayout>
                  <c:x val="0.1905113503791932"/>
                  <c:y val="-6.8222018901069725E-3"/>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A4435B56-13F8-4772-8FEB-A57E4DA58EFE}"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943B8AE0-9799-4DE1-80A6-7B4F12302CD5}"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09CB79E8-4A74-4480-A708-9A8D7CFEA83E}"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9883-4D4A-8D45-DC1218EE6946}"/>
                </c:ext>
              </c:extLst>
            </c:dLbl>
            <c:dLbl>
              <c:idx val="6"/>
              <c:layout>
                <c:manualLayout>
                  <c:x val="0.22477230362092768"/>
                  <c:y val="8.8136054759153717E-2"/>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CCAAD516-199C-4211-934B-F205BA47B76D}"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890670F1-AB31-46FB-8AAA-FD123E797CA6}"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34AD6D4-6BF2-451F-83B9-87EBBB8B8710}"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3A7E-42BC-974E-E6976EB2B85B}"/>
                </c:ext>
              </c:extLst>
            </c:dLbl>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Emissions'!$E$466:$E$472</c:f>
              <c:strCache>
                <c:ptCount val="7"/>
                <c:pt idx="0">
                  <c:v>Framræst land (N₂O) ¹</c:v>
                </c:pt>
                <c:pt idx="1">
                  <c:v>Nautgripir ²</c:v>
                </c:pt>
                <c:pt idx="2">
                  <c:v>Sauðfé ³</c:v>
                </c:pt>
                <c:pt idx="3">
                  <c:v>Tilbúinn áburður og kölkun ⁴</c:v>
                </c:pt>
                <c:pt idx="4">
                  <c:v>Lífrænn áburður ⁴</c:v>
                </c:pt>
                <c:pt idx="5">
                  <c:v>Hestar ⁵</c:v>
                </c:pt>
                <c:pt idx="6">
                  <c:v>Önnur losun</c:v>
                </c:pt>
              </c:strCache>
            </c:strRef>
          </c:cat>
          <c:val>
            <c:numRef>
              <c:f>'Losun | Emissions'!$F$466:$F$472</c:f>
              <c:numCache>
                <c:formatCode>0</c:formatCode>
                <c:ptCount val="7"/>
                <c:pt idx="0">
                  <c:v>192.53067664599612</c:v>
                </c:pt>
                <c:pt idx="1">
                  <c:v>183.73286362498627</c:v>
                </c:pt>
                <c:pt idx="2">
                  <c:v>132.03335646721749</c:v>
                </c:pt>
                <c:pt idx="3">
                  <c:v>66.57016773211484</c:v>
                </c:pt>
                <c:pt idx="4">
                  <c:v>32.395897460630628</c:v>
                </c:pt>
                <c:pt idx="5">
                  <c:v>22.773212088953969</c:v>
                </c:pt>
                <c:pt idx="6">
                  <c:v>38.304253225316643</c:v>
                </c:pt>
              </c:numCache>
            </c:numRef>
          </c:val>
          <c:extLst>
            <c:ext xmlns:c16="http://schemas.microsoft.com/office/drawing/2014/chart" uri="{C3380CC4-5D6E-409C-BE32-E72D297353CC}">
              <c16:uniqueId val="{0000000C-9883-4D4A-8D45-DC1218EE6946}"/>
            </c:ext>
          </c:extLst>
        </c:ser>
        <c:dLbls>
          <c:showLegendKey val="0"/>
          <c:showVal val="0"/>
          <c:showCatName val="0"/>
          <c:showSerName val="0"/>
          <c:showPercent val="0"/>
          <c:showBubbleSize val="0"/>
          <c:showLeaderLines val="1"/>
        </c:dLbls>
        <c:firstSliceAng val="94"/>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accent2"/>
            </a:solidFill>
          </c:spPr>
          <c:dPt>
            <c:idx val="0"/>
            <c:bubble3D val="0"/>
            <c:spPr>
              <a:solidFill>
                <a:schemeClr val="accent5"/>
              </a:solidFill>
              <a:ln w="19050">
                <a:solidFill>
                  <a:schemeClr val="lt1"/>
                </a:solidFill>
              </a:ln>
              <a:effectLst/>
            </c:spPr>
            <c:extLst>
              <c:ext xmlns:c16="http://schemas.microsoft.com/office/drawing/2014/chart" uri="{C3380CC4-5D6E-409C-BE32-E72D297353CC}">
                <c16:uniqueId val="{00000001-C602-4D66-885E-58AF36AE3D63}"/>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C602-4D66-885E-58AF36AE3D63}"/>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C602-4D66-885E-58AF36AE3D63}"/>
              </c:ext>
            </c:extLst>
          </c:dPt>
          <c:dPt>
            <c:idx val="3"/>
            <c:bubble3D val="0"/>
            <c:spPr>
              <a:solidFill>
                <a:schemeClr val="accent1"/>
              </a:solidFill>
              <a:ln w="19050">
                <a:solidFill>
                  <a:schemeClr val="bg1"/>
                </a:solidFill>
              </a:ln>
              <a:effectLst/>
            </c:spPr>
            <c:extLst>
              <c:ext xmlns:c16="http://schemas.microsoft.com/office/drawing/2014/chart" uri="{C3380CC4-5D6E-409C-BE32-E72D297353CC}">
                <c16:uniqueId val="{00000007-C602-4D66-885E-58AF36AE3D63}"/>
              </c:ext>
            </c:extLst>
          </c:dPt>
          <c:dLbls>
            <c:dLbl>
              <c:idx val="0"/>
              <c:layout>
                <c:manualLayout>
                  <c:x val="-0.27762169170488105"/>
                  <c:y val="0.12422416019262116"/>
                </c:manualLayout>
              </c:layout>
              <c:tx>
                <c:rich>
                  <a:bodyPr/>
                  <a:lstStyle/>
                  <a:p>
                    <a:fld id="{D1CA3378-0990-4D43-AB65-2DA8B490068B}" type="CATEGORYNAME">
                      <a:rPr lang="en-US" sz="1200" b="1"/>
                      <a:pPr/>
                      <a:t>[CATEGORY NAME]</a:t>
                    </a:fld>
                    <a:endParaRPr lang="en-US" b="1" baseline="0"/>
                  </a:p>
                  <a:p>
                    <a:fld id="{EEFA0DF0-0B2F-431A-9E7E-759C2BC5DECD}"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E91D3CC0-0B78-427B-B747-2AB30309D749}"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C602-4D66-885E-58AF36AE3D63}"/>
                </c:ext>
              </c:extLst>
            </c:dLbl>
            <c:dLbl>
              <c:idx val="1"/>
              <c:layout>
                <c:manualLayout>
                  <c:x val="-0.22416919245053057"/>
                  <c:y val="-0.14052929869355213"/>
                </c:manualLayout>
              </c:layout>
              <c:tx>
                <c:rich>
                  <a:bodyPr/>
                  <a:lstStyle/>
                  <a:p>
                    <a:r>
                      <a:rPr lang="en-US" sz="1200" b="1"/>
                      <a:t>Iðrager</a:t>
                    </a:r>
                    <a:fld id="{6C39118D-8AA5-4D8A-9913-CB6CEA1E3C81}" type="CATEGORYNAME">
                      <a:rPr lang="en-US" sz="1200" b="1"/>
                      <a:pPr/>
                      <a:t>[CATEGORY NAME]</a:t>
                    </a:fld>
                    <a:endParaRPr lang="en-US" b="1" baseline="0"/>
                  </a:p>
                  <a:p>
                    <a:fld id="{ED408053-769C-4AA3-9FA1-ABE7486722A3}" type="VALUE">
                      <a:rPr lang="en-US" sz="1000"/>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fld id="{C54DC737-4F07-4B2C-A4BF-C1F3A086A0F0}"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C602-4D66-885E-58AF36AE3D63}"/>
                </c:ext>
              </c:extLst>
            </c:dLbl>
            <c:dLbl>
              <c:idx val="2"/>
              <c:layout>
                <c:manualLayout>
                  <c:x val="0.24610460449777818"/>
                  <c:y val="-0.12840114714269091"/>
                </c:manualLayout>
              </c:layout>
              <c:tx>
                <c:rich>
                  <a:bodyPr/>
                  <a:lstStyle/>
                  <a:p>
                    <a:fld id="{FE96E21C-DF47-422E-AF12-AB6203847505}" type="CATEGORYNAME">
                      <a:rPr lang="en-US" sz="1200" b="1"/>
                      <a:pPr/>
                      <a:t>[CATEGORY NAME]</a:t>
                    </a:fld>
                    <a:endParaRPr lang="en-US" b="1" baseline="0"/>
                  </a:p>
                  <a:p>
                    <a:fld id="{5AF9D187-0CC8-46D6-A529-675154DCAD67}"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A276227C-079D-406C-91B4-450DE1557FC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C602-4D66-885E-58AF36AE3D63}"/>
                </c:ext>
              </c:extLst>
            </c:dLbl>
            <c:dLbl>
              <c:idx val="3"/>
              <c:layout>
                <c:manualLayout>
                  <c:x val="0.22449067688819727"/>
                  <c:y val="8.1151752720553999E-2"/>
                </c:manualLayout>
              </c:layout>
              <c:tx>
                <c:rich>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fld id="{C8049A3C-085A-43D5-AF88-56E201E42418}" type="CATEGORYNAME">
                      <a:rPr lang="en-US" sz="1200" b="1"/>
                      <a:pPr>
                        <a:defRPr sz="1050"/>
                      </a:pPr>
                      <a:t>[CATEGORY NAME]</a:t>
                    </a:fld>
                    <a:endParaRPr lang="en-US" sz="1200" b="1" baseline="0"/>
                  </a:p>
                  <a:p>
                    <a:pPr>
                      <a:defRPr sz="1050"/>
                    </a:pPr>
                    <a:fld id="{865A4821-D099-4718-8019-D11A044D48C6}" type="VALUE">
                      <a:rPr lang="en-US" sz="1050"/>
                      <a:pPr>
                        <a:defRPr sz="1050"/>
                      </a:pPr>
                      <a:t>[VALUE]</a:t>
                    </a:fld>
                    <a:r>
                      <a:rPr lang="en-US" sz="1050"/>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pPr>
                    <a:fld id="{8DDB8585-06F9-441B-9004-FE1ACC1D308B}" type="PERCENTAGE">
                      <a:rPr lang="en-US" sz="1050"/>
                      <a:pPr>
                        <a:defRPr sz="105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C602-4D66-885E-58AF36AE3D63}"/>
                </c:ext>
              </c:extLst>
            </c:dLbl>
            <c:spPr>
              <a:noFill/>
              <a:ln>
                <a:noFill/>
              </a:ln>
              <a:effectLst/>
            </c:spPr>
            <c:txPr>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Emissions'!$E$487:$E$490</c:f>
              <c:strCache>
                <c:ptCount val="4"/>
                <c:pt idx="0">
                  <c:v>Nytjajarðvegur ¹</c:v>
                </c:pt>
                <c:pt idx="1">
                  <c:v>Iðragerjun ²</c:v>
                </c:pt>
                <c:pt idx="2">
                  <c:v>Meðhöndlun húsdýraáburðar ³</c:v>
                </c:pt>
                <c:pt idx="3">
                  <c:v>Kölkun og CO₂-losun frá áburði ⁴</c:v>
                </c:pt>
              </c:strCache>
            </c:strRef>
          </c:cat>
          <c:val>
            <c:numRef>
              <c:f>'Losun | Emissions'!$F$487:$F$490</c:f>
              <c:numCache>
                <c:formatCode>0</c:formatCode>
                <c:ptCount val="4"/>
                <c:pt idx="0">
                  <c:v>309.7570133313846</c:v>
                </c:pt>
                <c:pt idx="1">
                  <c:v>274.48720815422439</c:v>
                </c:pt>
                <c:pt idx="2">
                  <c:v>76.630003384615506</c:v>
                </c:pt>
                <c:pt idx="3" formatCode="0.0">
                  <c:v>7.4662023749915436</c:v>
                </c:pt>
              </c:numCache>
            </c:numRef>
          </c:val>
          <c:extLst>
            <c:ext xmlns:c16="http://schemas.microsoft.com/office/drawing/2014/chart" uri="{C3380CC4-5D6E-409C-BE32-E72D297353CC}">
              <c16:uniqueId val="{00000008-C602-4D66-885E-58AF36AE3D63}"/>
            </c:ext>
          </c:extLst>
        </c:ser>
        <c:dLbls>
          <c:showLegendKey val="0"/>
          <c:showVal val="0"/>
          <c:showCatName val="0"/>
          <c:showSerName val="0"/>
          <c:showPercent val="0"/>
          <c:showBubbleSize val="0"/>
          <c:showLeaderLines val="1"/>
        </c:dLbls>
        <c:firstSliceAng val="10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496859565465282"/>
          <c:y val="0.11253279533498803"/>
          <c:w val="0.45900478705856451"/>
          <c:h val="0.81391238497531904"/>
        </c:manualLayout>
      </c:layout>
      <c:doughnutChart>
        <c:varyColors val="1"/>
        <c:ser>
          <c:idx val="0"/>
          <c:order val="0"/>
          <c:spPr>
            <a:solidFill>
              <a:schemeClr val="tx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337-438C-B71E-98741CC2C3BB}"/>
              </c:ext>
            </c:extLst>
          </c:dPt>
          <c:dPt>
            <c:idx val="1"/>
            <c:bubble3D val="0"/>
            <c:spPr>
              <a:solidFill>
                <a:srgbClr val="99E5DA"/>
              </a:solidFill>
              <a:ln w="19050">
                <a:noFill/>
              </a:ln>
              <a:effectLst/>
            </c:spPr>
            <c:extLst>
              <c:ext xmlns:c16="http://schemas.microsoft.com/office/drawing/2014/chart" uri="{C3380CC4-5D6E-409C-BE32-E72D297353CC}">
                <c16:uniqueId val="{00000003-5337-438C-B71E-98741CC2C3BB}"/>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5337-438C-B71E-98741CC2C3BB}"/>
              </c:ext>
            </c:extLst>
          </c:dPt>
          <c:dPt>
            <c:idx val="3"/>
            <c:bubble3D val="0"/>
            <c:spPr>
              <a:solidFill>
                <a:srgbClr val="FFBCB1"/>
              </a:solidFill>
              <a:ln w="19050">
                <a:solidFill>
                  <a:schemeClr val="lt1"/>
                </a:solidFill>
              </a:ln>
              <a:effectLst/>
            </c:spPr>
            <c:extLst>
              <c:ext xmlns:c16="http://schemas.microsoft.com/office/drawing/2014/chart" uri="{C3380CC4-5D6E-409C-BE32-E72D297353CC}">
                <c16:uniqueId val="{00000007-5337-438C-B71E-98741CC2C3BB}"/>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5337-438C-B71E-98741CC2C3BB}"/>
              </c:ext>
            </c:extLst>
          </c:dPt>
          <c:dPt>
            <c:idx val="5"/>
            <c:bubble3D val="0"/>
            <c:spPr>
              <a:solidFill>
                <a:srgbClr val="3C7290"/>
              </a:solidFill>
              <a:ln w="19050">
                <a:solidFill>
                  <a:schemeClr val="lt1"/>
                </a:solidFill>
              </a:ln>
              <a:effectLst/>
            </c:spPr>
            <c:extLst>
              <c:ext xmlns:c16="http://schemas.microsoft.com/office/drawing/2014/chart" uri="{C3380CC4-5D6E-409C-BE32-E72D297353CC}">
                <c16:uniqueId val="{0000000B-5337-438C-B71E-98741CC2C3BB}"/>
              </c:ext>
            </c:extLst>
          </c:dPt>
          <c:dPt>
            <c:idx val="6"/>
            <c:bubble3D val="0"/>
            <c:spPr>
              <a:solidFill>
                <a:srgbClr val="BDB4B5"/>
              </a:solidFill>
              <a:ln w="19050">
                <a:noFill/>
              </a:ln>
              <a:effectLst/>
            </c:spPr>
            <c:extLst>
              <c:ext xmlns:c16="http://schemas.microsoft.com/office/drawing/2014/chart" uri="{C3380CC4-5D6E-409C-BE32-E72D297353CC}">
                <c16:uniqueId val="{0000000D-18E5-406B-8635-9FB0FBFF1363}"/>
              </c:ext>
            </c:extLst>
          </c:dPt>
          <c:dLbls>
            <c:dLbl>
              <c:idx val="0"/>
              <c:layout>
                <c:manualLayout>
                  <c:x val="0.17067556199655454"/>
                  <c:y val="0.1443233420352889"/>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34DAF53F-51F3-4623-A22B-BED16E9367C7}"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5766F8D3-1A7A-4383-A749-884F235D4508}"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E30AAF7-2029-4C93-8DB2-FA685D610CF7}" type="PERCENTAGE">
                      <a:rPr lang="en-US" sz="1050"/>
                      <a:pPr>
                        <a:defRPr sz="105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12311112374736"/>
                      <c:h val="0.19127507457924375"/>
                    </c:manualLayout>
                  </c15:layout>
                  <c15:dlblFieldTable/>
                  <c15:showDataLabelsRange val="0"/>
                </c:ext>
                <c:ext xmlns:c16="http://schemas.microsoft.com/office/drawing/2014/chart" uri="{C3380CC4-5D6E-409C-BE32-E72D297353CC}">
                  <c16:uniqueId val="{00000001-5337-438C-B71E-98741CC2C3BB}"/>
                </c:ext>
              </c:extLst>
            </c:dLbl>
            <c:dLbl>
              <c:idx val="1"/>
              <c:layout>
                <c:manualLayout>
                  <c:x val="-0.17467416417361392"/>
                  <c:y val="0.12272318816180106"/>
                </c:manualLayout>
              </c:layout>
              <c:tx>
                <c:rich>
                  <a:bodyPr/>
                  <a:lstStyle/>
                  <a:p>
                    <a:fld id="{552F69B7-F178-43AC-AFD5-64B169D4AEF4}" type="CATEGORYNAME">
                      <a:rPr lang="en-US" sz="1200" b="1"/>
                      <a:pPr/>
                      <a:t>[CATEGORY NAME]</a:t>
                    </a:fld>
                    <a:endParaRPr lang="en-US" b="1" baseline="0"/>
                  </a:p>
                  <a:p>
                    <a:fld id="{FF15A204-B7C9-4B93-96A3-9BCD6F9F6A7F}"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27334245-3277-4C2C-BD7F-C7CFBA0A7330}"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5337-438C-B71E-98741CC2C3BB}"/>
                </c:ext>
              </c:extLst>
            </c:dLbl>
            <c:dLbl>
              <c:idx val="2"/>
              <c:layout>
                <c:manualLayout>
                  <c:x val="-0.2007925599812703"/>
                  <c:y val="-0.17034177006205936"/>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331F82BD-6FBD-4D59-A13E-B1A5DCEC0915}" type="CATEGORYNAME">
                      <a:rPr lang="en-US" sz="1200" b="1">
                        <a:solidFill>
                          <a:sysClr val="windowText" lastClr="000000"/>
                        </a:solidFill>
                      </a:rPr>
                      <a:pPr>
                        <a:defRPr sz="1000">
                          <a:solidFill>
                            <a:sysClr val="windowText" lastClr="000000"/>
                          </a:solidFill>
                        </a:defRPr>
                      </a:pPr>
                      <a:t>[CATEGORY NAME]</a:t>
                    </a:fld>
                    <a:endParaRPr lang="en-US" sz="1000" b="1" baseline="0">
                      <a:solidFill>
                        <a:sysClr val="windowText" lastClr="000000"/>
                      </a:solidFill>
                    </a:endParaRPr>
                  </a:p>
                  <a:p>
                    <a:pPr>
                      <a:defRPr sz="1000">
                        <a:solidFill>
                          <a:sysClr val="windowText" lastClr="000000"/>
                        </a:solidFill>
                      </a:defRPr>
                    </a:pPr>
                    <a:fld id="{3875F0E8-38BF-423D-B974-C0E4A7DF872A}" type="VALUE">
                      <a:rPr lang="en-US" sz="1000"/>
                      <a:pPr>
                        <a:defRPr sz="1000">
                          <a:solidFill>
                            <a:sysClr val="windowText" lastClr="000000"/>
                          </a:solidFill>
                        </a:defRPr>
                      </a:pPr>
                      <a:t>[VALUE]</a:t>
                    </a:fld>
                    <a:r>
                      <a:rPr lang="en-US" sz="1000" b="0" i="0" u="none" strike="noStrike" kern="1200" baseline="0">
                        <a:solidFill>
                          <a:sysClr val="windowText" lastClr="000000"/>
                        </a:solidFill>
                      </a:rPr>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BEEC1B1E-8E29-47F0-8663-CB8D517E664B}" type="PERCENTAGE">
                      <a:rPr lang="en-US" sz="1000"/>
                      <a:pPr>
                        <a:defRPr sz="100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917003559640765"/>
                      <c:h val="0.16730598213456152"/>
                    </c:manualLayout>
                  </c15:layout>
                  <c15:dlblFieldTable/>
                  <c15:showDataLabelsRange val="0"/>
                </c:ext>
                <c:ext xmlns:c16="http://schemas.microsoft.com/office/drawing/2014/chart" uri="{C3380CC4-5D6E-409C-BE32-E72D297353CC}">
                  <c16:uniqueId val="{00000005-5337-438C-B71E-98741CC2C3BB}"/>
                </c:ext>
              </c:extLst>
            </c:dLbl>
            <c:dLbl>
              <c:idx val="3"/>
              <c:layout>
                <c:manualLayout>
                  <c:x val="0.1534227674055616"/>
                  <c:y val="-0.15075538423313697"/>
                </c:manualLayout>
              </c:layout>
              <c:tx>
                <c:rich>
                  <a:bodyPr/>
                  <a:lstStyle/>
                  <a:p>
                    <a:fld id="{E431A23E-6757-476D-9FDD-5D912A8E5A6A}" type="CATEGORYNAME">
                      <a:rPr lang="en-US" sz="1200" b="1"/>
                      <a:pPr/>
                      <a:t>[CATEGORY NAME]</a:t>
                    </a:fld>
                    <a:endParaRPr lang="en-US" b="1" baseline="0"/>
                  </a:p>
                  <a:p>
                    <a:fld id="{8FE61726-2D5C-4F5A-9F21-CA71D52188EF}" type="VALUE">
                      <a:rPr lang="en-US"/>
                      <a:pPr/>
                      <a:t>[VALUE]</a:t>
                    </a:fld>
                    <a:r>
                      <a:rPr lang="en-US" sz="1050" b="0" i="0" u="none" strike="noStrike" kern="1200" baseline="0">
                        <a:solidFill>
                          <a:sysClr val="windowText" lastClr="000000"/>
                        </a:solidFill>
                      </a:rPr>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D1845BDD-DB66-4885-BA15-96D40AA91F8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5199402664686288"/>
                      <c:h val="0.15455227309190933"/>
                    </c:manualLayout>
                  </c15:layout>
                  <c15:dlblFieldTable/>
                  <c15:showDataLabelsRange val="0"/>
                </c:ext>
                <c:ext xmlns:c16="http://schemas.microsoft.com/office/drawing/2014/chart" uri="{C3380CC4-5D6E-409C-BE32-E72D297353CC}">
                  <c16:uniqueId val="{00000007-5337-438C-B71E-98741CC2C3BB}"/>
                </c:ext>
              </c:extLst>
            </c:dLbl>
            <c:dLbl>
              <c:idx val="4"/>
              <c:layout>
                <c:manualLayout>
                  <c:x val="0.25657441572292511"/>
                  <c:y val="-0.12066517683225997"/>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5337-438C-B71E-98741CC2C3BB}"/>
                </c:ext>
              </c:extLst>
            </c:dLbl>
            <c:dLbl>
              <c:idx val="5"/>
              <c:layout>
                <c:manualLayout>
                  <c:x val="0.29264763290090584"/>
                  <c:y val="5.1994242784327724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4435B56-13F8-4772-8FEB-A57E4DA58EFE}"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943B8AE0-9799-4DE1-80A6-7B4F12302CD5}" type="VALUE">
                      <a:rPr lang="en-US" sz="1000"/>
                      <a:pPr>
                        <a:defRPr sz="1000">
                          <a:solidFill>
                            <a:sysClr val="windowText" lastClr="000000"/>
                          </a:solidFill>
                        </a:defRPr>
                      </a:pPr>
                      <a:t>[VALUE]</a:t>
                    </a:fld>
                    <a:r>
                      <a:rPr lang="en-US" sz="1000" b="0" i="0" u="none" strike="noStrike" kern="1200" baseline="0">
                        <a:solidFill>
                          <a:sysClr val="windowText" lastClr="000000"/>
                        </a:solidFill>
                      </a:rPr>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09CB79E8-4A74-4480-A708-9A8D7CFEA83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5337-438C-B71E-98741CC2C3BB}"/>
                </c:ext>
              </c:extLst>
            </c:dLbl>
            <c:dLbl>
              <c:idx val="6"/>
              <c:layout>
                <c:manualLayout>
                  <c:x val="0.29309464982374417"/>
                  <c:y val="0.2214350798486506"/>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CCAAD516-199C-4211-934B-F205BA47B76D}"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890670F1-AB31-46FB-8AAA-FD123E797CA6}"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34AD6D4-6BF2-451F-83B9-87EBBB8B8710}"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18E5-406B-8635-9FB0FBFF1363}"/>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Emissions'!$Y$466:$Y$472</c:f>
              <c:strCache>
                <c:ptCount val="7"/>
                <c:pt idx="0">
                  <c:v>Cultivation of Organic Soils (N₂O) ¹</c:v>
                </c:pt>
                <c:pt idx="1">
                  <c:v>Cattle ²</c:v>
                </c:pt>
                <c:pt idx="2">
                  <c:v>Sheep ³</c:v>
                </c:pt>
                <c:pt idx="3">
                  <c:v>Inorganic Fertilizer Use and Liming ⁴</c:v>
                </c:pt>
                <c:pt idx="4">
                  <c:v>Organic Fertilizer Use ⁴</c:v>
                </c:pt>
                <c:pt idx="5">
                  <c:v>Horses ⁵</c:v>
                </c:pt>
                <c:pt idx="6">
                  <c:v>Other Emissions</c:v>
                </c:pt>
              </c:strCache>
            </c:strRef>
          </c:cat>
          <c:val>
            <c:numRef>
              <c:f>'Losun | Emissions'!$F$466:$F$472</c:f>
              <c:numCache>
                <c:formatCode>0</c:formatCode>
                <c:ptCount val="7"/>
                <c:pt idx="0">
                  <c:v>192.53067664599612</c:v>
                </c:pt>
                <c:pt idx="1">
                  <c:v>183.73286362498627</c:v>
                </c:pt>
                <c:pt idx="2">
                  <c:v>132.03335646721749</c:v>
                </c:pt>
                <c:pt idx="3">
                  <c:v>66.57016773211484</c:v>
                </c:pt>
                <c:pt idx="4">
                  <c:v>32.395897460630628</c:v>
                </c:pt>
                <c:pt idx="5">
                  <c:v>22.773212088953969</c:v>
                </c:pt>
                <c:pt idx="6">
                  <c:v>38.304253225316643</c:v>
                </c:pt>
              </c:numCache>
            </c:numRef>
          </c:val>
          <c:extLst>
            <c:ext xmlns:c16="http://schemas.microsoft.com/office/drawing/2014/chart" uri="{C3380CC4-5D6E-409C-BE32-E72D297353CC}">
              <c16:uniqueId val="{0000000C-5337-438C-B71E-98741CC2C3BB}"/>
            </c:ext>
          </c:extLst>
        </c:ser>
        <c:dLbls>
          <c:showLegendKey val="0"/>
          <c:showVal val="0"/>
          <c:showCatName val="0"/>
          <c:showSerName val="0"/>
          <c:showPercent val="0"/>
          <c:showBubbleSize val="0"/>
          <c:showLeaderLines val="1"/>
        </c:dLbls>
        <c:firstSliceAng val="92"/>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391999567160661"/>
          <c:y val="8.9189796939604937E-2"/>
          <c:w val="0.4425125047437507"/>
          <c:h val="0.80975822874341008"/>
        </c:manualLayout>
      </c:layout>
      <c:doughnutChart>
        <c:varyColors val="1"/>
        <c:ser>
          <c:idx val="0"/>
          <c:order val="0"/>
          <c:spPr>
            <a:solidFill>
              <a:schemeClr val="accent2"/>
            </a:solidFill>
          </c:spPr>
          <c:dPt>
            <c:idx val="0"/>
            <c:bubble3D val="0"/>
            <c:spPr>
              <a:solidFill>
                <a:schemeClr val="accent5"/>
              </a:solidFill>
              <a:ln w="19050">
                <a:solidFill>
                  <a:schemeClr val="lt1"/>
                </a:solidFill>
              </a:ln>
              <a:effectLst/>
            </c:spPr>
            <c:extLst>
              <c:ext xmlns:c16="http://schemas.microsoft.com/office/drawing/2014/chart" uri="{C3380CC4-5D6E-409C-BE32-E72D297353CC}">
                <c16:uniqueId val="{00000001-E049-41D7-BC42-0DE9CDD7C378}"/>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E049-41D7-BC42-0DE9CDD7C378}"/>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E049-41D7-BC42-0DE9CDD7C378}"/>
              </c:ext>
            </c:extLst>
          </c:dPt>
          <c:dPt>
            <c:idx val="3"/>
            <c:bubble3D val="0"/>
            <c:spPr>
              <a:solidFill>
                <a:schemeClr val="accent1"/>
              </a:solidFill>
              <a:ln w="19050">
                <a:solidFill>
                  <a:schemeClr val="bg1"/>
                </a:solidFill>
              </a:ln>
              <a:effectLst/>
            </c:spPr>
            <c:extLst>
              <c:ext xmlns:c16="http://schemas.microsoft.com/office/drawing/2014/chart" uri="{C3380CC4-5D6E-409C-BE32-E72D297353CC}">
                <c16:uniqueId val="{00000007-E049-41D7-BC42-0DE9CDD7C378}"/>
              </c:ext>
            </c:extLst>
          </c:dPt>
          <c:dLbls>
            <c:dLbl>
              <c:idx val="0"/>
              <c:layout>
                <c:manualLayout>
                  <c:x val="-0.3408161689982348"/>
                  <c:y val="0.13015517269158641"/>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D1CA3378-0990-4D43-AB65-2DA8B490068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EFA0DF0-0B2F-431A-9E7E-759C2BC5DECD}"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91D3CC0-0B78-427B-B747-2AB30309D74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E049-41D7-BC42-0DE9CDD7C378}"/>
                </c:ext>
              </c:extLst>
            </c:dLbl>
            <c:dLbl>
              <c:idx val="1"/>
              <c:layout>
                <c:manualLayout>
                  <c:x val="-0.27521075976863152"/>
                  <c:y val="-0.11174906637892325"/>
                </c:manualLayout>
              </c:layout>
              <c:tx>
                <c:rich>
                  <a:bodyPr/>
                  <a:lstStyle/>
                  <a:p>
                    <a:r>
                      <a:rPr lang="en-US" sz="1200" b="1"/>
                      <a:t>Enteric Fermentation</a:t>
                    </a:r>
                  </a:p>
                  <a:p>
                    <a:fld id="{ED408053-769C-4AA3-9FA1-ABE7486722A3}"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a:p>
                  <a:p>
                    <a:r>
                      <a:rPr lang="en-US" sz="1000" b="0"/>
                      <a:t>43%</a:t>
                    </a:r>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978574112480484"/>
                      <c:h val="0.18477606287327619"/>
                    </c:manualLayout>
                  </c15:layout>
                  <c15:dlblFieldTable/>
                  <c15:showDataLabelsRange val="0"/>
                </c:ext>
                <c:ext xmlns:c16="http://schemas.microsoft.com/office/drawing/2014/chart" uri="{C3380CC4-5D6E-409C-BE32-E72D297353CC}">
                  <c16:uniqueId val="{00000003-E049-41D7-BC42-0DE9CDD7C378}"/>
                </c:ext>
              </c:extLst>
            </c:dLbl>
            <c:dLbl>
              <c:idx val="2"/>
              <c:layout>
                <c:manualLayout>
                  <c:x val="0.26202075477355313"/>
                  <c:y val="-0.12840118164099212"/>
                </c:manualLayout>
              </c:layout>
              <c:tx>
                <c:rich>
                  <a:bodyPr/>
                  <a:lstStyle/>
                  <a:p>
                    <a:fld id="{FE96E21C-DF47-422E-AF12-AB6203847505}" type="CATEGORYNAME">
                      <a:rPr lang="en-US" sz="1200" b="1"/>
                      <a:pPr/>
                      <a:t>[CATEGORY NAME]</a:t>
                    </a:fld>
                    <a:endParaRPr lang="en-US" sz="1000" b="1" baseline="0"/>
                  </a:p>
                  <a:p>
                    <a:fld id="{5AF9D187-0CC8-46D6-A529-675154DCAD67}"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1" i="0" u="none" strike="noStrike" kern="1200" baseline="0">
                      <a:solidFill>
                        <a:sysClr val="windowText" lastClr="000000"/>
                      </a:solidFill>
                    </a:endParaRPr>
                  </a:p>
                  <a:p>
                    <a:fld id="{A276227C-079D-406C-91B4-450DE1557FC5}"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2228021815031548"/>
                      <c:h val="0.19085496176432606"/>
                    </c:manualLayout>
                  </c15:layout>
                  <c15:dlblFieldTable/>
                  <c15:showDataLabelsRange val="0"/>
                </c:ext>
                <c:ext xmlns:c16="http://schemas.microsoft.com/office/drawing/2014/chart" uri="{C3380CC4-5D6E-409C-BE32-E72D297353CC}">
                  <c16:uniqueId val="{00000005-E049-41D7-BC42-0DE9CDD7C378}"/>
                </c:ext>
              </c:extLst>
            </c:dLbl>
            <c:dLbl>
              <c:idx val="3"/>
              <c:layout>
                <c:manualLayout>
                  <c:x val="0.27391883640480558"/>
                  <c:y val="8.1151869474268334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8049A3C-085A-43D5-AF88-56E201E42418}"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65A4821-D099-4718-8019-D11A044D48C6}"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DDB8585-06F9-441B-9004-FE1ACC1D30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972478462032006"/>
                      <c:h val="0.23661097592328251"/>
                    </c:manualLayout>
                  </c15:layout>
                  <c15:dlblFieldTable/>
                  <c15:showDataLabelsRange val="0"/>
                </c:ext>
                <c:ext xmlns:c16="http://schemas.microsoft.com/office/drawing/2014/chart" uri="{C3380CC4-5D6E-409C-BE32-E72D297353CC}">
                  <c16:uniqueId val="{00000007-E049-41D7-BC42-0DE9CDD7C378}"/>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Emissions'!$Y$487:$Y$490</c:f>
              <c:strCache>
                <c:ptCount val="4"/>
                <c:pt idx="0">
                  <c:v>Agricultural Soils ¹</c:v>
                </c:pt>
                <c:pt idx="1">
                  <c:v>Enteric Fermentation ²</c:v>
                </c:pt>
                <c:pt idx="2">
                  <c:v>Manure Management ³</c:v>
                </c:pt>
                <c:pt idx="3">
                  <c:v>Liming and CO₂-Emissions from Fertilizers ⁴</c:v>
                </c:pt>
              </c:strCache>
            </c:strRef>
          </c:cat>
          <c:val>
            <c:numRef>
              <c:f>'Losun | Emissions'!$F$487:$F$490</c:f>
              <c:numCache>
                <c:formatCode>0</c:formatCode>
                <c:ptCount val="4"/>
                <c:pt idx="0">
                  <c:v>309.7570133313846</c:v>
                </c:pt>
                <c:pt idx="1">
                  <c:v>274.48720815422439</c:v>
                </c:pt>
                <c:pt idx="2">
                  <c:v>76.630003384615506</c:v>
                </c:pt>
                <c:pt idx="3" formatCode="0.0">
                  <c:v>7.4662023749915436</c:v>
                </c:pt>
              </c:numCache>
            </c:numRef>
          </c:val>
          <c:extLst>
            <c:ext xmlns:c16="http://schemas.microsoft.com/office/drawing/2014/chart" uri="{C3380CC4-5D6E-409C-BE32-E72D297353CC}">
              <c16:uniqueId val="{00000008-E049-41D7-BC42-0DE9CDD7C378}"/>
            </c:ext>
          </c:extLst>
        </c:ser>
        <c:dLbls>
          <c:showLegendKey val="0"/>
          <c:showVal val="0"/>
          <c:showCatName val="0"/>
          <c:showSerName val="0"/>
          <c:showPercent val="0"/>
          <c:showBubbleSize val="0"/>
          <c:showLeaderLines val="1"/>
        </c:dLbls>
        <c:firstSliceAng val="10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5917335412945E-2"/>
          <c:y val="3.2337962962962964E-2"/>
          <c:w val="0.65002222222222217"/>
          <c:h val="0.88088796296296301"/>
        </c:manualLayout>
      </c:layout>
      <c:barChart>
        <c:barDir val="col"/>
        <c:grouping val="stacked"/>
        <c:varyColors val="0"/>
        <c:ser>
          <c:idx val="14"/>
          <c:order val="0"/>
          <c:tx>
            <c:strRef>
              <c:f>'Talnagögn | Numerical Data'!$E$121</c:f>
              <c:strCache>
                <c:ptCount val="1"/>
                <c:pt idx="0">
                  <c:v>Framræst land (N₂O)</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extLst>
            <c:ext xmlns:c16="http://schemas.microsoft.com/office/drawing/2014/chart" uri="{C3380CC4-5D6E-409C-BE32-E72D297353CC}">
              <c16:uniqueId val="{00000000-9FB2-4958-91C7-49EC917CAEF2}"/>
            </c:ext>
          </c:extLst>
        </c:ser>
        <c:ser>
          <c:idx val="2"/>
          <c:order val="1"/>
          <c:tx>
            <c:strRef>
              <c:f>'Talnagögn | Numerical Data'!$E$133</c:f>
              <c:strCache>
                <c:ptCount val="1"/>
                <c:pt idx="0">
                  <c:v>Nautgripir</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extLst>
            <c:ext xmlns:c16="http://schemas.microsoft.com/office/drawing/2014/chart" uri="{C3380CC4-5D6E-409C-BE32-E72D297353CC}">
              <c16:uniqueId val="{00000001-9FB2-4958-91C7-49EC917CAEF2}"/>
            </c:ext>
          </c:extLst>
        </c:ser>
        <c:ser>
          <c:idx val="6"/>
          <c:order val="2"/>
          <c:tx>
            <c:strRef>
              <c:f>'Talnagögn | Numerical Data'!$E$138</c:f>
              <c:strCache>
                <c:ptCount val="1"/>
                <c:pt idx="0">
                  <c:v>Sauðfé</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extLst>
            <c:ext xmlns:c16="http://schemas.microsoft.com/office/drawing/2014/chart" uri="{C3380CC4-5D6E-409C-BE32-E72D297353CC}">
              <c16:uniqueId val="{00000002-9FB2-4958-91C7-49EC917CAEF2}"/>
            </c:ext>
          </c:extLst>
        </c:ser>
        <c:ser>
          <c:idx val="0"/>
          <c:order val="3"/>
          <c:tx>
            <c:strRef>
              <c:f>'Talnagögn | Numerical Data'!$E$122</c:f>
              <c:strCache>
                <c:ptCount val="1"/>
                <c:pt idx="0">
                  <c:v>Tilbúinn áburður og kölkun</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extLst>
            <c:ext xmlns:c16="http://schemas.microsoft.com/office/drawing/2014/chart" uri="{C3380CC4-5D6E-409C-BE32-E72D297353CC}">
              <c16:uniqueId val="{00000003-9FB2-4958-91C7-49EC917CAEF2}"/>
            </c:ext>
          </c:extLst>
        </c:ser>
        <c:ser>
          <c:idx val="3"/>
          <c:order val="4"/>
          <c:tx>
            <c:strRef>
              <c:f>'Talnagögn | Numerical Data'!$E$128</c:f>
              <c:strCache>
                <c:ptCount val="1"/>
                <c:pt idx="0">
                  <c:v>Lífrænn áburður</c:v>
                </c:pt>
              </c:strCache>
            </c:strRef>
          </c:tx>
          <c:spPr>
            <a:solidFill>
              <a:srgbClr val="F7E609"/>
            </a:solidFill>
            <a:ln>
              <a:noFill/>
            </a:ln>
            <a:effectLst/>
          </c:spPr>
          <c:invertIfNegative val="0"/>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extLst>
            <c:ext xmlns:c16="http://schemas.microsoft.com/office/drawing/2014/chart" uri="{C3380CC4-5D6E-409C-BE32-E72D297353CC}">
              <c16:uniqueId val="{00000000-C159-42F8-AF85-5DBA13CB8739}"/>
            </c:ext>
          </c:extLst>
        </c:ser>
        <c:ser>
          <c:idx val="10"/>
          <c:order val="5"/>
          <c:tx>
            <c:strRef>
              <c:f>'Talnagögn | Numerical Data'!$E$143</c:f>
              <c:strCache>
                <c:ptCount val="1"/>
                <c:pt idx="0">
                  <c:v>Hestar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extLst>
            <c:ext xmlns:c16="http://schemas.microsoft.com/office/drawing/2014/chart" uri="{C3380CC4-5D6E-409C-BE32-E72D297353CC}">
              <c16:uniqueId val="{00000004-9FB2-4958-91C7-49EC917CAEF2}"/>
            </c:ext>
          </c:extLst>
        </c:ser>
        <c:ser>
          <c:idx val="1"/>
          <c:order val="6"/>
          <c:tx>
            <c:strRef>
              <c:f>'Talnagögn | Numerical Data'!$E$148</c:f>
              <c:strCache>
                <c:ptCount val="1"/>
                <c:pt idx="0">
                  <c:v>Önnur losun</c:v>
                </c:pt>
              </c:strCache>
            </c:strRef>
          </c:tx>
          <c:spPr>
            <a:solidFill>
              <a:srgbClr val="BDB4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extLst>
            <c:ext xmlns:c16="http://schemas.microsoft.com/office/drawing/2014/chart" uri="{C3380CC4-5D6E-409C-BE32-E72D297353CC}">
              <c16:uniqueId val="{00000005-9FB2-4958-91C7-49EC917CAEF2}"/>
            </c:ext>
          </c:extLst>
        </c:ser>
        <c:dLbls>
          <c:showLegendKey val="0"/>
          <c:showVal val="0"/>
          <c:showCatName val="0"/>
          <c:showSerName val="0"/>
          <c:showPercent val="0"/>
          <c:showBubbleSize val="0"/>
        </c:dLbls>
        <c:gapWidth val="55"/>
        <c:overlap val="100"/>
        <c:axId val="1082038936"/>
        <c:axId val="1142935720"/>
      </c:bar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4405734918893385"/>
          <c:y val="0.28980092592592593"/>
          <c:w val="0.22153805373268073"/>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5917335412945E-2"/>
          <c:y val="3.2337962962962964E-2"/>
          <c:w val="0.63742990530129284"/>
          <c:h val="0.88088796296296301"/>
        </c:manualLayout>
      </c:layout>
      <c:barChart>
        <c:barDir val="col"/>
        <c:grouping val="stacked"/>
        <c:varyColors val="0"/>
        <c:ser>
          <c:idx val="14"/>
          <c:order val="0"/>
          <c:tx>
            <c:strRef>
              <c:f>'Talnagögn | Numerical Data'!$G$121</c:f>
              <c:strCache>
                <c:ptCount val="1"/>
                <c:pt idx="0">
                  <c:v>Cultivation of Organic Soils (N₂O)</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extLst>
            <c:ext xmlns:c16="http://schemas.microsoft.com/office/drawing/2014/chart" uri="{C3380CC4-5D6E-409C-BE32-E72D297353CC}">
              <c16:uniqueId val="{00000000-FBAC-4B28-92C6-CA91824A1A45}"/>
            </c:ext>
          </c:extLst>
        </c:ser>
        <c:ser>
          <c:idx val="2"/>
          <c:order val="1"/>
          <c:tx>
            <c:strRef>
              <c:f>'Talnagögn | Numerical Data'!$G$133</c:f>
              <c:strCache>
                <c:ptCount val="1"/>
                <c:pt idx="0">
                  <c:v>Cattle</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extLst>
            <c:ext xmlns:c16="http://schemas.microsoft.com/office/drawing/2014/chart" uri="{C3380CC4-5D6E-409C-BE32-E72D297353CC}">
              <c16:uniqueId val="{00000001-FBAC-4B28-92C6-CA91824A1A45}"/>
            </c:ext>
          </c:extLst>
        </c:ser>
        <c:ser>
          <c:idx val="6"/>
          <c:order val="2"/>
          <c:tx>
            <c:strRef>
              <c:f>'Talnagögn | Numerical Data'!$G$138</c:f>
              <c:strCache>
                <c:ptCount val="1"/>
                <c:pt idx="0">
                  <c:v>Sheep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extLst>
            <c:ext xmlns:c16="http://schemas.microsoft.com/office/drawing/2014/chart" uri="{C3380CC4-5D6E-409C-BE32-E72D297353CC}">
              <c16:uniqueId val="{00000002-FBAC-4B28-92C6-CA91824A1A45}"/>
            </c:ext>
          </c:extLst>
        </c:ser>
        <c:ser>
          <c:idx val="0"/>
          <c:order val="3"/>
          <c:tx>
            <c:strRef>
              <c:f>'Talnagögn | Numerical Data'!$G$122</c:f>
              <c:strCache>
                <c:ptCount val="1"/>
                <c:pt idx="0">
                  <c:v>Inorganic Fertilizer Use and Liming</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extLst>
            <c:ext xmlns:c16="http://schemas.microsoft.com/office/drawing/2014/chart" uri="{C3380CC4-5D6E-409C-BE32-E72D297353CC}">
              <c16:uniqueId val="{00000003-FBAC-4B28-92C6-CA91824A1A45}"/>
            </c:ext>
          </c:extLst>
        </c:ser>
        <c:ser>
          <c:idx val="3"/>
          <c:order val="4"/>
          <c:tx>
            <c:strRef>
              <c:f>'Talnagögn | Numerical Data'!$G$128</c:f>
              <c:strCache>
                <c:ptCount val="1"/>
                <c:pt idx="0">
                  <c:v>Organic Fertilizer Use</c:v>
                </c:pt>
              </c:strCache>
            </c:strRef>
          </c:tx>
          <c:spPr>
            <a:solidFill>
              <a:srgbClr val="F7E609"/>
            </a:solidFill>
            <a:ln>
              <a:noFill/>
            </a:ln>
            <a:effectLst/>
          </c:spPr>
          <c:invertIfNegative val="0"/>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extLst>
            <c:ext xmlns:c16="http://schemas.microsoft.com/office/drawing/2014/chart" uri="{C3380CC4-5D6E-409C-BE32-E72D297353CC}">
              <c16:uniqueId val="{00000000-D0FB-4E85-A9C9-1BCE4491D840}"/>
            </c:ext>
          </c:extLst>
        </c:ser>
        <c:ser>
          <c:idx val="10"/>
          <c:order val="5"/>
          <c:tx>
            <c:strRef>
              <c:f>'Talnagögn | Numerical Data'!$E$143</c:f>
              <c:strCache>
                <c:ptCount val="1"/>
                <c:pt idx="0">
                  <c:v>Hestar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extLst>
            <c:ext xmlns:c16="http://schemas.microsoft.com/office/drawing/2014/chart" uri="{C3380CC4-5D6E-409C-BE32-E72D297353CC}">
              <c16:uniqueId val="{00000004-FBAC-4B28-92C6-CA91824A1A45}"/>
            </c:ext>
          </c:extLst>
        </c:ser>
        <c:ser>
          <c:idx val="1"/>
          <c:order val="6"/>
          <c:tx>
            <c:strRef>
              <c:f>'Talnagögn | Numerical Data'!$G$148</c:f>
              <c:strCache>
                <c:ptCount val="1"/>
                <c:pt idx="0">
                  <c:v>Other Emissions</c:v>
                </c:pt>
              </c:strCache>
            </c:strRef>
          </c:tx>
          <c:spPr>
            <a:solidFill>
              <a:srgbClr val="BDB4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extLst>
            <c:ext xmlns:c16="http://schemas.microsoft.com/office/drawing/2014/chart" uri="{C3380CC4-5D6E-409C-BE32-E72D297353CC}">
              <c16:uniqueId val="{00000005-FBAC-4B28-92C6-CA91824A1A45}"/>
            </c:ext>
          </c:extLst>
        </c:ser>
        <c:dLbls>
          <c:showLegendKey val="0"/>
          <c:showVal val="0"/>
          <c:showCatName val="0"/>
          <c:showSerName val="0"/>
          <c:showPercent val="0"/>
          <c:showBubbleSize val="0"/>
        </c:dLbls>
        <c:gapWidth val="55"/>
        <c:overlap val="100"/>
        <c:axId val="1082038936"/>
        <c:axId val="1142935720"/>
      </c:bar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3922976306942234"/>
          <c:y val="0.28980092592592593"/>
          <c:w val="0.2607702114534684"/>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87014504484337E-2"/>
          <c:y val="3.2337962962962964E-2"/>
          <c:w val="0.63145700483091782"/>
          <c:h val="0.88088796296296301"/>
        </c:manualLayout>
      </c:layout>
      <c:lineChart>
        <c:grouping val="standard"/>
        <c:varyColors val="0"/>
        <c:ser>
          <c:idx val="2"/>
          <c:order val="0"/>
          <c:tx>
            <c:strRef>
              <c:f>'Talnagögn | Numerical Data'!$G$188</c:f>
              <c:strCache>
                <c:ptCount val="1"/>
                <c:pt idx="0">
                  <c:v>Agricultural Soils</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smooth val="0"/>
          <c:extLst>
            <c:ext xmlns:c16="http://schemas.microsoft.com/office/drawing/2014/chart" uri="{C3380CC4-5D6E-409C-BE32-E72D297353CC}">
              <c16:uniqueId val="{00000000-E790-4B4F-AF15-F08DE4616269}"/>
            </c:ext>
          </c:extLst>
        </c:ser>
        <c:ser>
          <c:idx val="0"/>
          <c:order val="1"/>
          <c:tx>
            <c:strRef>
              <c:f>'Talnagögn | Numerical Data'!$G$186</c:f>
              <c:strCache>
                <c:ptCount val="1"/>
                <c:pt idx="0">
                  <c:v>Enteric Fermentation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smooth val="0"/>
          <c:extLst>
            <c:ext xmlns:c16="http://schemas.microsoft.com/office/drawing/2014/chart" uri="{C3380CC4-5D6E-409C-BE32-E72D297353CC}">
              <c16:uniqueId val="{00000001-E790-4B4F-AF15-F08DE4616269}"/>
            </c:ext>
          </c:extLst>
        </c:ser>
        <c:ser>
          <c:idx val="1"/>
          <c:order val="2"/>
          <c:tx>
            <c:strRef>
              <c:f>'Talnagögn | Numerical Data'!$G$187</c:f>
              <c:strCache>
                <c:ptCount val="1"/>
                <c:pt idx="0">
                  <c:v>Manure Management</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smooth val="0"/>
          <c:extLst>
            <c:ext xmlns:c16="http://schemas.microsoft.com/office/drawing/2014/chart" uri="{C3380CC4-5D6E-409C-BE32-E72D297353CC}">
              <c16:uniqueId val="{00000002-E790-4B4F-AF15-F08DE4616269}"/>
            </c:ext>
          </c:extLst>
        </c:ser>
        <c:ser>
          <c:idx val="3"/>
          <c:order val="3"/>
          <c:tx>
            <c:strRef>
              <c:f>'Talnagögn | Numerical Data'!$G$189</c:f>
              <c:strCache>
                <c:ptCount val="1"/>
                <c:pt idx="0">
                  <c:v>Liming and CO₂-Emissions from Fertilizers</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smooth val="0"/>
          <c:extLst>
            <c:ext xmlns:c16="http://schemas.microsoft.com/office/drawing/2014/chart" uri="{C3380CC4-5D6E-409C-BE32-E72D297353CC}">
              <c16:uniqueId val="{00000003-E790-4B4F-AF15-F08DE4616269}"/>
            </c:ext>
          </c:extLst>
        </c:ser>
        <c:dLbls>
          <c:showLegendKey val="0"/>
          <c:showVal val="0"/>
          <c:showCatName val="0"/>
          <c:showSerName val="0"/>
          <c:showPercent val="0"/>
          <c:showBubbleSize val="0"/>
        </c:dLbls>
        <c:smooth val="0"/>
        <c:axId val="439398384"/>
        <c:axId val="439399464"/>
      </c:line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2382741545893725"/>
          <c:y val="0.36378703703703696"/>
          <c:w val="0.27617258454106286"/>
          <c:h val="0.2783055555555555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3"/>
          <c:order val="0"/>
          <c:tx>
            <c:strRef>
              <c:f>'Talnagögn | Numerical Data'!$E$9</c:f>
              <c:strCache>
                <c:ptCount val="1"/>
                <c:pt idx="0">
                  <c:v>Landnotkun</c:v>
                </c:pt>
              </c:strCache>
            </c:strRef>
          </c:tx>
          <c:spPr>
            <a:ln w="19050" cap="rnd">
              <a:solidFill>
                <a:srgbClr val="68A20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5D98-4FFF-9C8C-4453AA6B5FF0}"/>
            </c:ext>
          </c:extLst>
        </c:ser>
        <c:ser>
          <c:idx val="0"/>
          <c:order val="1"/>
          <c:tx>
            <c:strRef>
              <c:f>'Talnagögn | Numerical Data'!$E$6</c:f>
              <c:strCache>
                <c:ptCount val="1"/>
                <c:pt idx="0">
                  <c:v>Orka</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5D98-4FFF-9C8C-4453AA6B5FF0}"/>
            </c:ext>
          </c:extLst>
        </c:ser>
        <c:ser>
          <c:idx val="1"/>
          <c:order val="2"/>
          <c:tx>
            <c:strRef>
              <c:f>'Talnagögn | Numerical Data'!$E$7</c:f>
              <c:strCache>
                <c:ptCount val="1"/>
                <c:pt idx="0">
                  <c:v>Iðnaður og vörunotkun</c:v>
                </c:pt>
              </c:strCache>
            </c:strRef>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5D98-4FFF-9C8C-4453AA6B5FF0}"/>
            </c:ext>
          </c:extLst>
        </c:ser>
        <c:ser>
          <c:idx val="2"/>
          <c:order val="3"/>
          <c:tx>
            <c:strRef>
              <c:f>'Talnagögn | Numerical Data'!$E$8</c:f>
              <c:strCache>
                <c:ptCount val="1"/>
                <c:pt idx="0">
                  <c:v>Landbúnaður</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5D98-4FFF-9C8C-4453AA6B5FF0}"/>
            </c:ext>
          </c:extLst>
        </c:ser>
        <c:ser>
          <c:idx val="4"/>
          <c:order val="4"/>
          <c:tx>
            <c:strRef>
              <c:f>'Talnagögn | Numerical Data'!$E$10</c:f>
              <c:strCache>
                <c:ptCount val="1"/>
                <c:pt idx="0">
                  <c:v>Úrgangur</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5D98-4FFF-9C8C-4453AA6B5FF0}"/>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strRef>
              <c:f>'Talnagögn | Numerical Data'!$E$9</c:f>
              <c:strCache>
                <c:ptCount val="1"/>
                <c:pt idx="0">
                  <c:v>Landnotkun</c:v>
                </c:pt>
              </c:strCache>
            </c:strRef>
          </c:tx>
          <c:spPr>
            <a:solidFill>
              <a:srgbClr val="68A200"/>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E414-42C4-B712-D1D4A1534E87}"/>
            </c:ext>
          </c:extLst>
        </c:ser>
        <c:ser>
          <c:idx val="1"/>
          <c:order val="1"/>
          <c:tx>
            <c:strRef>
              <c:f>'Talnagögn | Numerical Data'!$E$6</c:f>
              <c:strCache>
                <c:ptCount val="1"/>
                <c:pt idx="0">
                  <c:v>Orka</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E414-42C4-B712-D1D4A1534E87}"/>
            </c:ext>
          </c:extLst>
        </c:ser>
        <c:ser>
          <c:idx val="2"/>
          <c:order val="2"/>
          <c:tx>
            <c:strRef>
              <c:f>'Talnagögn | Numerical Data'!$E$7</c:f>
              <c:strCache>
                <c:ptCount val="1"/>
                <c:pt idx="0">
                  <c:v>Iðnaður og vörunotkun</c:v>
                </c:pt>
              </c:strCache>
            </c:strRef>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E414-42C4-B712-D1D4A1534E87}"/>
            </c:ext>
          </c:extLst>
        </c:ser>
        <c:ser>
          <c:idx val="3"/>
          <c:order val="3"/>
          <c:tx>
            <c:strRef>
              <c:f>'Talnagögn | Numerical Data'!$E$8</c:f>
              <c:strCache>
                <c:ptCount val="1"/>
                <c:pt idx="0">
                  <c:v>Landbúnaður</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E414-42C4-B712-D1D4A1534E87}"/>
            </c:ext>
          </c:extLst>
        </c:ser>
        <c:ser>
          <c:idx val="4"/>
          <c:order val="4"/>
          <c:tx>
            <c:strRef>
              <c:f>'Talnagögn | Numerical Data'!$E$10</c:f>
              <c:strCache>
                <c:ptCount val="1"/>
                <c:pt idx="0">
                  <c:v>Úrgangur</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E414-42C4-B712-D1D4A1534E87}"/>
            </c:ext>
          </c:extLst>
        </c:ser>
        <c:ser>
          <c:idx val="6"/>
          <c:order val="5"/>
          <c:tx>
            <c:strRef>
              <c:f>'Talnagögn | Numerical Data'!$G$18</c:f>
              <c:strCache>
                <c:ptCount val="1"/>
                <c:pt idx="0">
                  <c:v>Land use, Land-Use Change and Forestry (LULUCF)</c:v>
                </c:pt>
              </c:strCache>
            </c:strRef>
          </c:tx>
          <c:spPr>
            <a:solidFill>
              <a:srgbClr val="68A200">
                <a:alpha val="30196"/>
              </a:srgbClr>
            </a:solidFill>
          </c:spPr>
          <c:invertIfNegative val="0"/>
          <c:dPt>
            <c:idx val="35"/>
            <c:invertIfNegative val="0"/>
            <c:bubble3D val="0"/>
            <c:spPr>
              <a:noFill/>
            </c:spPr>
            <c:extLst>
              <c:ext xmlns:c16="http://schemas.microsoft.com/office/drawing/2014/chart" uri="{C3380CC4-5D6E-409C-BE32-E72D297353CC}">
                <c16:uniqueId val="{00000006-E414-42C4-B712-D1D4A1534E87}"/>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extLst>
            <c:ext xmlns:c16="http://schemas.microsoft.com/office/drawing/2014/chart" uri="{C3380CC4-5D6E-409C-BE32-E72D297353CC}">
              <c16:uniqueId val="{00000007-E414-42C4-B712-D1D4A1534E87}"/>
            </c:ext>
          </c:extLst>
        </c:ser>
        <c:ser>
          <c:idx val="7"/>
          <c:order val="6"/>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E414-42C4-B712-D1D4A1534E87}"/>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E414-42C4-B712-D1D4A1534E87}"/>
            </c:ext>
          </c:extLst>
        </c:ser>
        <c:ser>
          <c:idx val="8"/>
          <c:order val="7"/>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E414-42C4-B712-D1D4A1534E87}"/>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E414-42C4-B712-D1D4A1534E87}"/>
            </c:ext>
          </c:extLst>
        </c:ser>
        <c:ser>
          <c:idx val="9"/>
          <c:order val="8"/>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E414-42C4-B712-D1D4A1534E87}"/>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E414-42C4-B712-D1D4A1534E87}"/>
            </c:ext>
          </c:extLst>
        </c:ser>
        <c:ser>
          <c:idx val="5"/>
          <c:order val="9"/>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E414-42C4-B712-D1D4A1534E87}"/>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E414-42C4-B712-D1D4A1534E87}"/>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7725277777777768"/>
          <c:y val="0.36795124258130613"/>
          <c:w val="0.22274722222222224"/>
          <c:h val="0.264592653840892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1"/>
          <c:order val="0"/>
          <c:tx>
            <c:strRef>
              <c:f>'Talnagögn | Numerical Data'!$E$6</c:f>
              <c:strCache>
                <c:ptCount val="1"/>
                <c:pt idx="0">
                  <c:v>Orka</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B49F-49C4-AC69-353A1491D0F1}"/>
            </c:ext>
          </c:extLst>
        </c:ser>
        <c:ser>
          <c:idx val="2"/>
          <c:order val="1"/>
          <c:tx>
            <c:strRef>
              <c:f>'Talnagögn | Numerical Data'!$E$7</c:f>
              <c:strCache>
                <c:ptCount val="1"/>
                <c:pt idx="0">
                  <c:v>Iðnaður og vörunotkun</c:v>
                </c:pt>
              </c:strCache>
            </c:strRef>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B49F-49C4-AC69-353A1491D0F1}"/>
            </c:ext>
          </c:extLst>
        </c:ser>
        <c:ser>
          <c:idx val="3"/>
          <c:order val="2"/>
          <c:tx>
            <c:strRef>
              <c:f>'Talnagögn | Numerical Data'!$E$8</c:f>
              <c:strCache>
                <c:ptCount val="1"/>
                <c:pt idx="0">
                  <c:v>Landbúnaður</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B49F-49C4-AC69-353A1491D0F1}"/>
            </c:ext>
          </c:extLst>
        </c:ser>
        <c:ser>
          <c:idx val="4"/>
          <c:order val="3"/>
          <c:tx>
            <c:strRef>
              <c:f>'Talnagögn | Numerical Data'!$E$10</c:f>
              <c:strCache>
                <c:ptCount val="1"/>
                <c:pt idx="0">
                  <c:v>Úrgangur</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B49F-49C4-AC69-353A1491D0F1}"/>
            </c:ext>
          </c:extLst>
        </c:ser>
        <c:ser>
          <c:idx val="7"/>
          <c:order val="4"/>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B49F-49C4-AC69-353A1491D0F1}"/>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B49F-49C4-AC69-353A1491D0F1}"/>
            </c:ext>
          </c:extLst>
        </c:ser>
        <c:ser>
          <c:idx val="8"/>
          <c:order val="5"/>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B49F-49C4-AC69-353A1491D0F1}"/>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B49F-49C4-AC69-353A1491D0F1}"/>
            </c:ext>
          </c:extLst>
        </c:ser>
        <c:ser>
          <c:idx val="9"/>
          <c:order val="6"/>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B49F-49C4-AC69-353A1491D0F1}"/>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B49F-49C4-AC69-353A1491D0F1}"/>
            </c:ext>
          </c:extLst>
        </c:ser>
        <c:ser>
          <c:idx val="5"/>
          <c:order val="7"/>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B49F-49C4-AC69-353A1491D0F1}"/>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B49F-49C4-AC69-353A1491D0F1}"/>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7725277777777768"/>
          <c:y val="0.36795124258130613"/>
          <c:w val="0.22274722222222224"/>
          <c:h val="0.264592653840892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strRef>
              <c:f>'Talnagögn | Numerical Data'!$E$9</c:f>
              <c:strCache>
                <c:ptCount val="1"/>
                <c:pt idx="0">
                  <c:v>Landnotkun</c:v>
                </c:pt>
              </c:strCache>
            </c:strRef>
          </c:tx>
          <c:spPr>
            <a:ln>
              <a:solidFill>
                <a:srgbClr val="68A200"/>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A9ED-4B5E-8D8C-B40FB385B86F}"/>
            </c:ext>
          </c:extLst>
        </c:ser>
        <c:ser>
          <c:idx val="1"/>
          <c:order val="1"/>
          <c:tx>
            <c:strRef>
              <c:f>'Talnagögn | Numerical Data'!$E$6</c:f>
              <c:strCache>
                <c:ptCount val="1"/>
                <c:pt idx="0">
                  <c:v>Orka</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A9ED-4B5E-8D8C-B40FB385B86F}"/>
            </c:ext>
          </c:extLst>
        </c:ser>
        <c:ser>
          <c:idx val="2"/>
          <c:order val="2"/>
          <c:tx>
            <c:strRef>
              <c:f>'Talnagögn | Numerical Data'!$E$7</c:f>
              <c:strCache>
                <c:ptCount val="1"/>
                <c:pt idx="0">
                  <c:v>Iðnaður og vörunotkun</c:v>
                </c:pt>
              </c:strCache>
            </c:strRef>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A9ED-4B5E-8D8C-B40FB385B86F}"/>
            </c:ext>
          </c:extLst>
        </c:ser>
        <c:ser>
          <c:idx val="3"/>
          <c:order val="3"/>
          <c:tx>
            <c:strRef>
              <c:f>'Talnagögn | Numerical Data'!$E$8</c:f>
              <c:strCache>
                <c:ptCount val="1"/>
                <c:pt idx="0">
                  <c:v>Landbúnaður</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A9ED-4B5E-8D8C-B40FB385B86F}"/>
            </c:ext>
          </c:extLst>
        </c:ser>
        <c:ser>
          <c:idx val="4"/>
          <c:order val="4"/>
          <c:tx>
            <c:strRef>
              <c:f>'Talnagögn | Numerical Data'!$E$10</c:f>
              <c:strCache>
                <c:ptCount val="1"/>
                <c:pt idx="0">
                  <c:v>Úrgangur</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A9ED-4B5E-8D8C-B40FB385B86F}"/>
            </c:ext>
          </c:extLst>
        </c:ser>
        <c:ser>
          <c:idx val="6"/>
          <c:order val="5"/>
          <c:tx>
            <c:strRef>
              <c:f>'Talnagögn | Numerical Data'!$G$18</c:f>
              <c:strCache>
                <c:ptCount val="1"/>
                <c:pt idx="0">
                  <c:v>Land use, Land-Use Change and Forestry (LULUCF)</c:v>
                </c:pt>
              </c:strCache>
            </c:strRef>
          </c:tx>
          <c:spPr>
            <a:ln>
              <a:solidFill>
                <a:srgbClr val="68A200"/>
              </a:solidFill>
              <a:prstDash val="dash"/>
            </a:ln>
          </c:spPr>
          <c:marker>
            <c:symbol val="none"/>
          </c:marker>
          <c:dPt>
            <c:idx val="35"/>
            <c:bubble3D val="0"/>
            <c:extLst>
              <c:ext xmlns:c16="http://schemas.microsoft.com/office/drawing/2014/chart" uri="{C3380CC4-5D6E-409C-BE32-E72D297353CC}">
                <c16:uniqueId val="{00000006-A9ED-4B5E-8D8C-B40FB385B86F}"/>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smooth val="0"/>
          <c:extLst>
            <c:ext xmlns:c16="http://schemas.microsoft.com/office/drawing/2014/chart" uri="{C3380CC4-5D6E-409C-BE32-E72D297353CC}">
              <c16:uniqueId val="{00000007-A9ED-4B5E-8D8C-B40FB385B86F}"/>
            </c:ext>
          </c:extLst>
        </c:ser>
        <c:ser>
          <c:idx val="7"/>
          <c:order val="6"/>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9-A9ED-4B5E-8D8C-B40FB385B86F}"/>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A-A9ED-4B5E-8D8C-B40FB385B86F}"/>
            </c:ext>
          </c:extLst>
        </c:ser>
        <c:ser>
          <c:idx val="8"/>
          <c:order val="7"/>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C-A9ED-4B5E-8D8C-B40FB385B86F}"/>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D-A9ED-4B5E-8D8C-B40FB385B86F}"/>
            </c:ext>
          </c:extLst>
        </c:ser>
        <c:ser>
          <c:idx val="9"/>
          <c:order val="8"/>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F-A9ED-4B5E-8D8C-B40FB385B86F}"/>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10-A9ED-4B5E-8D8C-B40FB385B86F}"/>
            </c:ext>
          </c:extLst>
        </c:ser>
        <c:ser>
          <c:idx val="5"/>
          <c:order val="9"/>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12-A9ED-4B5E-8D8C-B40FB385B86F}"/>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13-A9ED-4B5E-8D8C-B40FB385B86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8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7725277777777768"/>
          <c:y val="0.36795124258130613"/>
          <c:w val="0.21157058080808078"/>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1"/>
          <c:order val="0"/>
          <c:tx>
            <c:strRef>
              <c:f>'Talnagögn | Numerical Data'!$E$6</c:f>
              <c:strCache>
                <c:ptCount val="1"/>
                <c:pt idx="0">
                  <c:v>Orka</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56EC-4E97-B1A1-02EB15A22921}"/>
            </c:ext>
          </c:extLst>
        </c:ser>
        <c:ser>
          <c:idx val="2"/>
          <c:order val="1"/>
          <c:tx>
            <c:strRef>
              <c:f>'Talnagögn | Numerical Data'!$E$7</c:f>
              <c:strCache>
                <c:ptCount val="1"/>
                <c:pt idx="0">
                  <c:v>Iðnaður og vörunotkun</c:v>
                </c:pt>
              </c:strCache>
            </c:strRef>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56EC-4E97-B1A1-02EB15A22921}"/>
            </c:ext>
          </c:extLst>
        </c:ser>
        <c:ser>
          <c:idx val="3"/>
          <c:order val="2"/>
          <c:tx>
            <c:strRef>
              <c:f>'Talnagögn | Numerical Data'!$E$8</c:f>
              <c:strCache>
                <c:ptCount val="1"/>
                <c:pt idx="0">
                  <c:v>Landbúnaður</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56EC-4E97-B1A1-02EB15A22921}"/>
            </c:ext>
          </c:extLst>
        </c:ser>
        <c:ser>
          <c:idx val="4"/>
          <c:order val="3"/>
          <c:tx>
            <c:strRef>
              <c:f>'Talnagögn | Numerical Data'!$E$10</c:f>
              <c:strCache>
                <c:ptCount val="1"/>
                <c:pt idx="0">
                  <c:v>Úrgangur</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56EC-4E97-B1A1-02EB15A22921}"/>
            </c:ext>
          </c:extLst>
        </c:ser>
        <c:ser>
          <c:idx val="7"/>
          <c:order val="4"/>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56EC-4E97-B1A1-02EB15A22921}"/>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56EC-4E97-B1A1-02EB15A22921}"/>
            </c:ext>
          </c:extLst>
        </c:ser>
        <c:ser>
          <c:idx val="8"/>
          <c:order val="5"/>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56EC-4E97-B1A1-02EB15A22921}"/>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56EC-4E97-B1A1-02EB15A22921}"/>
            </c:ext>
          </c:extLst>
        </c:ser>
        <c:ser>
          <c:idx val="9"/>
          <c:order val="6"/>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56EC-4E97-B1A1-02EB15A22921}"/>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56EC-4E97-B1A1-02EB15A22921}"/>
            </c:ext>
          </c:extLst>
        </c:ser>
        <c:ser>
          <c:idx val="5"/>
          <c:order val="7"/>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56EC-4E97-B1A1-02EB15A22921}"/>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56EC-4E97-B1A1-02EB15A22921}"/>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7725277777777768"/>
          <c:y val="0.36795124258130613"/>
          <c:w val="0.21157058080808078"/>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8.3368178115666575E-2"/>
          <c:y val="3.8332205958706317E-2"/>
          <c:w val="0.64788828502415463"/>
          <c:h val="0.86576709855719858"/>
        </c:manualLayout>
      </c:layout>
      <c:barChart>
        <c:barDir val="col"/>
        <c:grouping val="stacked"/>
        <c:varyColors val="0"/>
        <c:ser>
          <c:idx val="4"/>
          <c:order val="0"/>
          <c:tx>
            <c:strRef>
              <c:f>'Talnagögn | Numerical Data'!$E$31</c:f>
              <c:strCache>
                <c:ptCount val="1"/>
                <c:pt idx="0">
                  <c:v>Álframleiðsla</c:v>
                </c:pt>
              </c:strCache>
            </c:strRef>
          </c:tx>
          <c:spPr>
            <a:solidFill>
              <a:schemeClr val="bg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9501-4C1D-8D93-0E2A957AB2AA}"/>
            </c:ext>
          </c:extLst>
        </c:ser>
        <c:ser>
          <c:idx val="2"/>
          <c:order val="1"/>
          <c:tx>
            <c:strRef>
              <c:f>'Talnagögn | Numerical Data'!$E$29</c:f>
              <c:strCache>
                <c:ptCount val="1"/>
                <c:pt idx="0">
                  <c:v>Vegasamgöngur</c:v>
                </c:pt>
              </c:strCache>
            </c:strRef>
          </c:tx>
          <c:spPr>
            <a:solidFill>
              <a:srgbClr val="99E5DA"/>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1-9501-4C1D-8D93-0E2A957AB2AA}"/>
            </c:ext>
          </c:extLst>
        </c:ser>
        <c:ser>
          <c:idx val="7"/>
          <c:order val="2"/>
          <c:tx>
            <c:strRef>
              <c:f>'Talnagögn | Numerical Data'!$E$33</c:f>
              <c:strCache>
                <c:ptCount val="1"/>
                <c:pt idx="0">
                  <c:v>Landbúnaður</c:v>
                </c:pt>
              </c:strCache>
            </c:strRef>
          </c:tx>
          <c:spPr>
            <a:solidFill>
              <a:srgbClr val="5E9FE8"/>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9501-4C1D-8D93-0E2A957AB2AA}"/>
            </c:ext>
          </c:extLst>
        </c:ser>
        <c:ser>
          <c:idx val="0"/>
          <c:order val="3"/>
          <c:tx>
            <c:strRef>
              <c:f>'Talnagögn | Numerical Data'!$E$28</c:f>
              <c:strCache>
                <c:ptCount val="1"/>
                <c:pt idx="0">
                  <c:v>Fiskiskip</c:v>
                </c:pt>
              </c:strCache>
            </c:strRef>
          </c:tx>
          <c:spPr>
            <a:solidFill>
              <a:srgbClr val="FFBB8D"/>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3-9501-4C1D-8D93-0E2A957AB2AA}"/>
            </c:ext>
          </c:extLst>
        </c:ser>
        <c:ser>
          <c:idx val="6"/>
          <c:order val="4"/>
          <c:tx>
            <c:strRef>
              <c:f>'Talnagögn | Numerical Data'!$E$32</c:f>
              <c:strCache>
                <c:ptCount val="1"/>
                <c:pt idx="0">
                  <c:v>Kísil- og kísilmálmframleiðsla</c:v>
                </c:pt>
              </c:strCache>
            </c:strRef>
          </c:tx>
          <c:spPr>
            <a:solidFill>
              <a:schemeClr val="tx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4-9501-4C1D-8D93-0E2A957AB2AA}"/>
            </c:ext>
          </c:extLst>
        </c:ser>
        <c:ser>
          <c:idx val="8"/>
          <c:order val="5"/>
          <c:tx>
            <c:strRef>
              <c:f>'Talnagögn | Numerical Data'!$E$34</c:f>
              <c:strCache>
                <c:ptCount val="1"/>
                <c:pt idx="0">
                  <c:v>Úrgangur</c:v>
                </c:pt>
              </c:strCache>
            </c:strRef>
          </c:tx>
          <c:spPr>
            <a:solidFill>
              <a:schemeClr val="accent3">
                <a:lumMod val="40000"/>
                <a:lumOff val="6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5-9501-4C1D-8D93-0E2A957AB2AA}"/>
            </c:ext>
          </c:extLst>
        </c:ser>
        <c:ser>
          <c:idx val="3"/>
          <c:order val="6"/>
          <c:tx>
            <c:strRef>
              <c:f>'Talnagögn | Numerical Data'!$E$30</c:f>
              <c:strCache>
                <c:ptCount val="1"/>
                <c:pt idx="0">
                  <c:v>Jarðvarmavirkjanir</c:v>
                </c:pt>
              </c:strCache>
            </c:strRef>
          </c:tx>
          <c:spPr>
            <a:solidFill>
              <a:schemeClr val="accent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6-9501-4C1D-8D93-0E2A957AB2AA}"/>
            </c:ext>
          </c:extLst>
        </c:ser>
        <c:ser>
          <c:idx val="9"/>
          <c:order val="7"/>
          <c:tx>
            <c:strRef>
              <c:f>'Talnagögn | Numerical Data'!$E$35</c:f>
              <c:strCache>
                <c:ptCount val="1"/>
                <c:pt idx="0">
                  <c:v>Önnur losun</c:v>
                </c:pt>
              </c:strCache>
            </c:strRef>
          </c:tx>
          <c:spPr>
            <a:solidFill>
              <a:schemeClr val="accent5">
                <a:lumMod val="20000"/>
                <a:lumOff val="8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extLst>
            <c:ext xmlns:c16="http://schemas.microsoft.com/office/drawing/2014/chart" uri="{C3380CC4-5D6E-409C-BE32-E72D297353CC}">
              <c16:uniqueId val="{00000007-9501-4C1D-8D93-0E2A957AB2AA}"/>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3904685990338159"/>
          <c:y val="0.21508083682426776"/>
          <c:w val="0.25951642512077294"/>
          <c:h val="0.561514018868985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9.1988820806583063E-2"/>
          <c:y val="3.8332184799116854E-2"/>
          <c:w val="0.64159975845410633"/>
          <c:h val="0.86576709855719858"/>
        </c:manualLayout>
      </c:layout>
      <c:lineChart>
        <c:grouping val="standard"/>
        <c:varyColors val="0"/>
        <c:ser>
          <c:idx val="4"/>
          <c:order val="0"/>
          <c:tx>
            <c:strRef>
              <c:f>'Talnagögn | Numerical Data'!$E$27</c:f>
              <c:strCache>
                <c:ptCount val="1"/>
                <c:pt idx="0">
                  <c:v>Söguleg losun</c:v>
                </c:pt>
              </c:strCache>
            </c:strRef>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Data'!$I$36:$AW$36</c:f>
              <c:numCache>
                <c:formatCode>0</c:formatCode>
                <c:ptCount val="41"/>
                <c:pt idx="0">
                  <c:v>3679.0633039689005</c:v>
                </c:pt>
                <c:pt idx="1">
                  <c:v>3476.4113137838945</c:v>
                </c:pt>
                <c:pt idx="2">
                  <c:v>3404.5459225499694</c:v>
                </c:pt>
                <c:pt idx="3">
                  <c:v>3491.6833020231297</c:v>
                </c:pt>
                <c:pt idx="4">
                  <c:v>3426.2037132172986</c:v>
                </c:pt>
                <c:pt idx="5">
                  <c:v>3558.1613482022221</c:v>
                </c:pt>
                <c:pt idx="6">
                  <c:v>3615.625763169603</c:v>
                </c:pt>
                <c:pt idx="7">
                  <c:v>3785.3631682173327</c:v>
                </c:pt>
                <c:pt idx="8">
                  <c:v>3928.8582349452645</c:v>
                </c:pt>
                <c:pt idx="9">
                  <c:v>4145.3391814564393</c:v>
                </c:pt>
                <c:pt idx="10">
                  <c:v>4176.3190920584075</c:v>
                </c:pt>
                <c:pt idx="11">
                  <c:v>4074.2176968458066</c:v>
                </c:pt>
                <c:pt idx="12">
                  <c:v>4149.3939155300068</c:v>
                </c:pt>
                <c:pt idx="13">
                  <c:v>4123.6704535060735</c:v>
                </c:pt>
                <c:pt idx="14">
                  <c:v>4247.7613359204488</c:v>
                </c:pt>
                <c:pt idx="15">
                  <c:v>4107.4866563888572</c:v>
                </c:pt>
                <c:pt idx="16">
                  <c:v>4665.6243128277019</c:v>
                </c:pt>
                <c:pt idx="17">
                  <c:v>4972.9360975745585</c:v>
                </c:pt>
                <c:pt idx="18">
                  <c:v>5354.6362340230389</c:v>
                </c:pt>
                <c:pt idx="19">
                  <c:v>5048.9407687876519</c:v>
                </c:pt>
                <c:pt idx="20">
                  <c:v>4952.1890340898362</c:v>
                </c:pt>
                <c:pt idx="21">
                  <c:v>4739.063839287569</c:v>
                </c:pt>
                <c:pt idx="22">
                  <c:v>4733.2420141737985</c:v>
                </c:pt>
                <c:pt idx="23">
                  <c:v>4736.6977125293706</c:v>
                </c:pt>
                <c:pt idx="24">
                  <c:v>4757.9444002491682</c:v>
                </c:pt>
                <c:pt idx="25">
                  <c:v>4828.1436479065469</c:v>
                </c:pt>
                <c:pt idx="26">
                  <c:v>4785.8299562500315</c:v>
                </c:pt>
                <c:pt idx="27">
                  <c:v>4868.498739557006</c:v>
                </c:pt>
                <c:pt idx="28">
                  <c:v>4931.3533472269328</c:v>
                </c:pt>
                <c:pt idx="29">
                  <c:v>4790.7443884568402</c:v>
                </c:pt>
                <c:pt idx="30">
                  <c:v>4585.3105774217856</c:v>
                </c:pt>
                <c:pt idx="31">
                  <c:v>4724.1914040969996</c:v>
                </c:pt>
                <c:pt idx="32">
                  <c:v>4783.8602436113288</c:v>
                </c:pt>
                <c:pt idx="33">
                  <c:v>4650.2417142004797</c:v>
                </c:pt>
                <c:pt idx="34">
                  <c:v>4782.0944845918812</c:v>
                </c:pt>
                <c:pt idx="35">
                  <c:v>4489.4149268075043</c:v>
                </c:pt>
              </c:numCache>
            </c:numRef>
          </c:val>
          <c:smooth val="0"/>
          <c:extLst>
            <c:ext xmlns:c16="http://schemas.microsoft.com/office/drawing/2014/chart" uri="{C3380CC4-5D6E-409C-BE32-E72D297353CC}">
              <c16:uniqueId val="{00000000-D095-4AE0-B0C9-57C29D6C881C}"/>
            </c:ext>
          </c:extLst>
        </c:ser>
        <c:ser>
          <c:idx val="12"/>
          <c:order val="1"/>
          <c:tx>
            <c:strRef>
              <c:f>'Talnagögn | Numerical Data'!$E$38</c:f>
              <c:strCache>
                <c:ptCount val="1"/>
                <c:pt idx="0">
                  <c:v>Losunarspá: Sviðsmynd byggð á aðgerðum stjórnvalda</c:v>
                </c:pt>
              </c:strCache>
            </c:strRef>
          </c:tx>
          <c:spPr>
            <a:ln>
              <a:solidFill>
                <a:schemeClr val="tx1"/>
              </a:solidFill>
              <a:prstDash val="dash"/>
            </a:ln>
          </c:spPr>
          <c:marker>
            <c:symbol val="none"/>
          </c:marker>
          <c:val>
            <c:numRef>
              <c:f>'Talnagögn | Numerical Data'!$I$47:$BV$47</c:f>
              <c:numCache>
                <c:formatCode>0</c:formatCode>
                <c:ptCount val="66"/>
                <c:pt idx="35">
                  <c:v>4489.4149268075043</c:v>
                </c:pt>
                <c:pt idx="36">
                  <c:v>4369.956287718328</c:v>
                </c:pt>
                <c:pt idx="37">
                  <c:v>4599.4125427379458</c:v>
                </c:pt>
                <c:pt idx="38">
                  <c:v>4528.4938417181684</c:v>
                </c:pt>
                <c:pt idx="39">
                  <c:v>4458.4780508302329</c:v>
                </c:pt>
                <c:pt idx="40">
                  <c:v>4394.7614497730301</c:v>
                </c:pt>
                <c:pt idx="41">
                  <c:v>4322.6309871221492</c:v>
                </c:pt>
                <c:pt idx="42">
                  <c:v>4273.5513049895526</c:v>
                </c:pt>
                <c:pt idx="43">
                  <c:v>4235.0747443815308</c:v>
                </c:pt>
                <c:pt idx="44">
                  <c:v>4172.3280829502064</c:v>
                </c:pt>
                <c:pt idx="45">
                  <c:v>4104.7902319101031</c:v>
                </c:pt>
                <c:pt idx="46">
                  <c:v>4053.7924586175809</c:v>
                </c:pt>
                <c:pt idx="47">
                  <c:v>3995.4384248641209</c:v>
                </c:pt>
                <c:pt idx="48">
                  <c:v>3937.5067373252382</c:v>
                </c:pt>
                <c:pt idx="49">
                  <c:v>3878.4710187304131</c:v>
                </c:pt>
                <c:pt idx="50">
                  <c:v>3818.9719477407552</c:v>
                </c:pt>
                <c:pt idx="51">
                  <c:v>3761.4271311062244</c:v>
                </c:pt>
                <c:pt idx="52">
                  <c:v>3704.431045663729</c:v>
                </c:pt>
                <c:pt idx="53">
                  <c:v>3648.6611132819348</c:v>
                </c:pt>
                <c:pt idx="54">
                  <c:v>3594.6208566082892</c:v>
                </c:pt>
                <c:pt idx="55">
                  <c:v>3539.3959741655735</c:v>
                </c:pt>
                <c:pt idx="56">
                  <c:v>3486.0928498741514</c:v>
                </c:pt>
                <c:pt idx="57">
                  <c:v>3431.6791642181547</c:v>
                </c:pt>
                <c:pt idx="58">
                  <c:v>3376.9542081982904</c:v>
                </c:pt>
                <c:pt idx="59">
                  <c:v>3319.2937478295644</c:v>
                </c:pt>
                <c:pt idx="60">
                  <c:v>3261.7629314711889</c:v>
                </c:pt>
                <c:pt idx="61">
                  <c:v>3200.2240701709188</c:v>
                </c:pt>
                <c:pt idx="62">
                  <c:v>3158.0974679844894</c:v>
                </c:pt>
                <c:pt idx="63">
                  <c:v>3119.1372243979595</c:v>
                </c:pt>
                <c:pt idx="64">
                  <c:v>3086.8990429913706</c:v>
                </c:pt>
                <c:pt idx="65">
                  <c:v>3060.9494015478231</c:v>
                </c:pt>
              </c:numCache>
            </c:numRef>
          </c:val>
          <c:smooth val="0"/>
          <c:extLst>
            <c:ext xmlns:c16="http://schemas.microsoft.com/office/drawing/2014/chart" uri="{C3380CC4-5D6E-409C-BE32-E72D297353CC}">
              <c16:uniqueId val="{00000001-D095-4AE0-B0C9-57C29D6C881C}"/>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4725132850241549"/>
          <c:y val="0.37983828236997275"/>
          <c:w val="0.25274867149758451"/>
          <c:h val="0.23420838754823789"/>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9.3522584541062798E-2"/>
          <c:y val="3.8332184799116854E-2"/>
          <c:w val="0.63546449275362316"/>
          <c:h val="0.86576709855719858"/>
        </c:manualLayout>
      </c:layout>
      <c:lineChart>
        <c:grouping val="standard"/>
        <c:varyColors val="0"/>
        <c:ser>
          <c:idx val="4"/>
          <c:order val="0"/>
          <c:tx>
            <c:strRef>
              <c:f>'Talnagögn | Numerical Data'!$E$31</c:f>
              <c:strCache>
                <c:ptCount val="1"/>
                <c:pt idx="0">
                  <c:v>Álframleiðsla</c:v>
                </c:pt>
              </c:strCache>
            </c:strRef>
          </c:tx>
          <c:spPr>
            <a:ln>
              <a:solidFill>
                <a:schemeClr val="bg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4767-4FE7-A541-7F65BB362DBE}"/>
            </c:ext>
          </c:extLst>
        </c:ser>
        <c:ser>
          <c:idx val="2"/>
          <c:order val="1"/>
          <c:tx>
            <c:strRef>
              <c:f>'Talnagögn | Numerical Data'!$E$29</c:f>
              <c:strCache>
                <c:ptCount val="1"/>
                <c:pt idx="0">
                  <c:v>Vegasamgöngur</c:v>
                </c:pt>
              </c:strCache>
            </c:strRef>
          </c:tx>
          <c:spPr>
            <a:ln>
              <a:solidFill>
                <a:srgbClr val="99E5DA"/>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4767-4FE7-A541-7F65BB362DBE}"/>
            </c:ext>
          </c:extLst>
        </c:ser>
        <c:ser>
          <c:idx val="7"/>
          <c:order val="2"/>
          <c:tx>
            <c:strRef>
              <c:f>'Talnagögn | Numerical Data'!$E$33</c:f>
              <c:strCache>
                <c:ptCount val="1"/>
                <c:pt idx="0">
                  <c:v>Landbúnaður</c:v>
                </c:pt>
              </c:strCache>
            </c:strRef>
          </c:tx>
          <c:spPr>
            <a:ln>
              <a:solidFill>
                <a:srgbClr val="5E9FE8"/>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4767-4FE7-A541-7F65BB362DBE}"/>
            </c:ext>
          </c:extLst>
        </c:ser>
        <c:ser>
          <c:idx val="0"/>
          <c:order val="3"/>
          <c:tx>
            <c:strRef>
              <c:f>'Talnagögn | Numerical Data'!$E$28</c:f>
              <c:strCache>
                <c:ptCount val="1"/>
                <c:pt idx="0">
                  <c:v>Fiskiskip</c:v>
                </c:pt>
              </c:strCache>
            </c:strRef>
          </c:tx>
          <c:spPr>
            <a:ln>
              <a:solidFill>
                <a:srgbClr val="FFBB8D"/>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4767-4FE7-A541-7F65BB362DBE}"/>
            </c:ext>
          </c:extLst>
        </c:ser>
        <c:ser>
          <c:idx val="6"/>
          <c:order val="4"/>
          <c:tx>
            <c:strRef>
              <c:f>'Talnagögn | Numerical Data'!$E$32</c:f>
              <c:strCache>
                <c:ptCount val="1"/>
                <c:pt idx="0">
                  <c:v>Kísil- og kísilmálmframleiðsla</c:v>
                </c:pt>
              </c:strCache>
            </c:strRef>
          </c:tx>
          <c:spPr>
            <a:ln>
              <a:solidFill>
                <a:schemeClr val="tx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4-4767-4FE7-A541-7F65BB362DBE}"/>
            </c:ext>
          </c:extLst>
        </c:ser>
        <c:ser>
          <c:idx val="8"/>
          <c:order val="5"/>
          <c:tx>
            <c:strRef>
              <c:f>'Talnagögn | Numerical Data'!$E$34</c:f>
              <c:strCache>
                <c:ptCount val="1"/>
                <c:pt idx="0">
                  <c:v>Úrgangur</c:v>
                </c:pt>
              </c:strCache>
            </c:strRef>
          </c:tx>
          <c:spPr>
            <a:ln>
              <a:solidFill>
                <a:schemeClr val="accent3">
                  <a:lumMod val="40000"/>
                  <a:lumOff val="6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5-4767-4FE7-A541-7F65BB362DBE}"/>
            </c:ext>
          </c:extLst>
        </c:ser>
        <c:ser>
          <c:idx val="3"/>
          <c:order val="6"/>
          <c:tx>
            <c:strRef>
              <c:f>'Talnagögn | Numerical Data'!$E$30</c:f>
              <c:strCache>
                <c:ptCount val="1"/>
                <c:pt idx="0">
                  <c:v>Jarðvarmavirkjanir</c:v>
                </c:pt>
              </c:strCache>
            </c:strRef>
          </c:tx>
          <c:spPr>
            <a:ln>
              <a:solidFill>
                <a:schemeClr val="accent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6-4767-4FE7-A541-7F65BB362DBE}"/>
            </c:ext>
          </c:extLst>
        </c:ser>
        <c:ser>
          <c:idx val="9"/>
          <c:order val="7"/>
          <c:tx>
            <c:strRef>
              <c:f>'Talnagögn | Numerical Data'!$E$35</c:f>
              <c:strCache>
                <c:ptCount val="1"/>
                <c:pt idx="0">
                  <c:v>Önnur losun</c:v>
                </c:pt>
              </c:strCache>
            </c:strRef>
          </c:tx>
          <c:spPr>
            <a:ln>
              <a:solidFill>
                <a:schemeClr val="accent5">
                  <a:lumMod val="20000"/>
                  <a:lumOff val="8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smooth val="0"/>
          <c:extLst>
            <c:ext xmlns:c16="http://schemas.microsoft.com/office/drawing/2014/chart" uri="{C3380CC4-5D6E-409C-BE32-E72D297353CC}">
              <c16:uniqueId val="{00000007-4767-4FE7-A541-7F65BB362DBE}"/>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8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5536099033816428"/>
          <c:y val="0.22977991430090605"/>
          <c:w val="0.24463900966183574"/>
          <c:h val="0.5595510554516331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0.11353564814814815"/>
          <c:w val="0.64124939613526555"/>
          <c:h val="0.79969027777777779"/>
        </c:manualLayout>
      </c:layout>
      <c:barChart>
        <c:barDir val="col"/>
        <c:grouping val="stacked"/>
        <c:varyColors val="0"/>
        <c:ser>
          <c:idx val="1"/>
          <c:order val="0"/>
          <c:tx>
            <c:strRef>
              <c:f>'Talnagögn | Numerical Data'!$E$55</c:f>
              <c:strCache>
                <c:ptCount val="1"/>
                <c:pt idx="0">
                  <c:v>Vegasamgöngur</c:v>
                </c:pt>
              </c:strCache>
            </c:strRef>
          </c:tx>
          <c:spPr>
            <a:solidFill>
              <a:schemeClr val="accent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0-0501-49CA-9481-E925CC9B0697}"/>
            </c:ext>
          </c:extLst>
        </c:ser>
        <c:ser>
          <c:idx val="0"/>
          <c:order val="1"/>
          <c:tx>
            <c:strRef>
              <c:f>'Talnagögn | Numerical Data'!$E$54</c:f>
              <c:strCache>
                <c:ptCount val="1"/>
                <c:pt idx="0">
                  <c:v>Fiskiskip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1-0501-49CA-9481-E925CC9B0697}"/>
            </c:ext>
          </c:extLst>
        </c:ser>
        <c:ser>
          <c:idx val="6"/>
          <c:order val="2"/>
          <c:tx>
            <c:strRef>
              <c:f>'Talnagögn | Numerical Data'!$E$65</c:f>
              <c:strCache>
                <c:ptCount val="1"/>
                <c:pt idx="0">
                  <c:v>Jarðvarmavirkjanir</c:v>
                </c:pt>
              </c:strCache>
            </c:strRef>
          </c:tx>
          <c:spPr>
            <a:solidFill>
              <a:schemeClr val="accent4">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2-0501-49CA-9481-E925CC9B0697}"/>
            </c:ext>
          </c:extLst>
        </c:ser>
        <c:ser>
          <c:idx val="4"/>
          <c:order val="3"/>
          <c:tx>
            <c:strRef>
              <c:f>'Talnagögn | Numerical Data'!$E$58</c:f>
              <c:strCache>
                <c:ptCount val="1"/>
                <c:pt idx="0">
                  <c:v>Vélar og tæki</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extLst>
            <c:ext xmlns:c16="http://schemas.microsoft.com/office/drawing/2014/chart" uri="{C3380CC4-5D6E-409C-BE32-E72D297353CC}">
              <c16:uniqueId val="{00000003-0501-49CA-9481-E925CC9B0697}"/>
            </c:ext>
          </c:extLst>
        </c:ser>
        <c:ser>
          <c:idx val="5"/>
          <c:order val="4"/>
          <c:tx>
            <c:v>Eldsneytisbruni í staðb. iðnaði</c:v>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extLst>
            <c:ext xmlns:c16="http://schemas.microsoft.com/office/drawing/2014/chart" uri="{C3380CC4-5D6E-409C-BE32-E72D297353CC}">
              <c16:uniqueId val="{00000004-0501-49CA-9481-E925CC9B0697}"/>
            </c:ext>
          </c:extLst>
        </c:ser>
        <c:ser>
          <c:idx val="2"/>
          <c:order val="5"/>
          <c:tx>
            <c:strRef>
              <c:f>'Talnagögn | Numerical Data'!$E$56</c:f>
              <c:strCache>
                <c:ptCount val="1"/>
                <c:pt idx="0">
                  <c:v>Innanlandsflug</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extLst>
            <c:ext xmlns:c16="http://schemas.microsoft.com/office/drawing/2014/chart" uri="{C3380CC4-5D6E-409C-BE32-E72D297353CC}">
              <c16:uniqueId val="{00000005-0501-49CA-9481-E925CC9B0697}"/>
            </c:ext>
          </c:extLst>
        </c:ser>
        <c:ser>
          <c:idx val="3"/>
          <c:order val="6"/>
          <c:tx>
            <c:strRef>
              <c:f>'Talnagögn | Numerical Data'!$E$57</c:f>
              <c:strCache>
                <c:ptCount val="1"/>
                <c:pt idx="0">
                  <c:v>Strandsiglingar</c:v>
                </c:pt>
              </c:strCache>
            </c:strRef>
          </c:tx>
          <c:spPr>
            <a:solidFill>
              <a:srgbClr val="FFDDD8"/>
            </a:solidFill>
            <a:ln>
              <a:solidFill>
                <a:schemeClr val="accent3">
                  <a:lumMod val="20000"/>
                  <a:lumOff val="80000"/>
                </a:schemeClr>
              </a:solid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extLst>
            <c:ext xmlns:c16="http://schemas.microsoft.com/office/drawing/2014/chart" uri="{C3380CC4-5D6E-409C-BE32-E72D297353CC}">
              <c16:uniqueId val="{00000006-0501-49CA-9481-E925CC9B0697}"/>
            </c:ext>
          </c:extLst>
        </c:ser>
        <c:ser>
          <c:idx val="7"/>
          <c:order val="7"/>
          <c:tx>
            <c:strRef>
              <c:f>'Talnagögn | Numerical Data'!$E$66</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extLst>
            <c:ext xmlns:c16="http://schemas.microsoft.com/office/drawing/2014/chart" uri="{C3380CC4-5D6E-409C-BE32-E72D297353CC}">
              <c16:uniqueId val="{00000007-0501-49CA-9481-E925CC9B0697}"/>
            </c:ext>
          </c:extLst>
        </c:ser>
        <c:dLbls>
          <c:showLegendKey val="0"/>
          <c:showVal val="0"/>
          <c:showCatName val="0"/>
          <c:showSerName val="0"/>
          <c:showPercent val="0"/>
          <c:showBubbleSize val="0"/>
        </c:dLbls>
        <c:gapWidth val="55"/>
        <c:overlap val="100"/>
        <c:axId val="993243424"/>
        <c:axId val="439305608"/>
      </c:barChart>
      <c:cat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95969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1437439613526565"/>
          <c:y val="0.26069629629629631"/>
          <c:w val="0.28562560386473429"/>
          <c:h val="0.49624629629629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3638952862009868"/>
          <c:h val="0.88088796296296301"/>
        </c:manualLayout>
      </c:layout>
      <c:lineChart>
        <c:grouping val="standard"/>
        <c:varyColors val="0"/>
        <c:ser>
          <c:idx val="2"/>
          <c:order val="0"/>
          <c:tx>
            <c:strRef>
              <c:f>'Talnagögn | Numerical Data'!$E$90</c:f>
              <c:strCache>
                <c:ptCount val="1"/>
                <c:pt idx="0">
                  <c:v>Álframleiðsla</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Data'!$I$90:$AX$90</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39C5-4568-999F-FFB9DB22E429}"/>
            </c:ext>
          </c:extLst>
        </c:ser>
        <c:ser>
          <c:idx val="3"/>
          <c:order val="1"/>
          <c:tx>
            <c:strRef>
              <c:f>'Talnagögn | Numerical Data'!$E$91</c:f>
              <c:strCache>
                <c:ptCount val="1"/>
                <c:pt idx="0">
                  <c:v>Kísil- og kísilmálmframleiðsla</c:v>
                </c:pt>
              </c:strCache>
            </c:strRef>
          </c:tx>
          <c:spPr>
            <a:ln w="19050" cap="rnd">
              <a:solidFill>
                <a:schemeClr val="accent5">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Data'!$I$91:$AX$91</c:f>
              <c:numCache>
                <c:formatCode>0</c:formatCode>
                <c:ptCount val="42"/>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39C5-4568-999F-FFB9DB22E429}"/>
            </c:ext>
          </c:extLst>
        </c:ser>
        <c:ser>
          <c:idx val="5"/>
          <c:order val="2"/>
          <c:tx>
            <c:strRef>
              <c:f>'Talnagögn | Numerical Data'!$E$92</c:f>
              <c:strCache>
                <c:ptCount val="1"/>
                <c:pt idx="0">
                  <c:v>F-gös (m.a. kælimiðlar)</c:v>
                </c:pt>
              </c:strCache>
            </c:strRef>
          </c:tx>
          <c:spPr>
            <a:ln w="19050" cap="rnd">
              <a:solidFill>
                <a:schemeClr val="accent3">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Data'!$I$92:$AX$92</c:f>
              <c:numCache>
                <c:formatCode>0.0</c:formatCode>
                <c:ptCount val="42"/>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39C5-4568-999F-FFB9DB22E429}"/>
            </c:ext>
          </c:extLst>
        </c:ser>
        <c:ser>
          <c:idx val="4"/>
          <c:order val="3"/>
          <c:tx>
            <c:strRef>
              <c:f>'Talnagögn | Numerical Data'!$E$93</c:f>
              <c:strCache>
                <c:ptCount val="1"/>
                <c:pt idx="0">
                  <c:v>Önnur losun</c:v>
                </c:pt>
              </c:strCache>
            </c:strRef>
          </c:tx>
          <c:spPr>
            <a:ln w="19050"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Data'!$I$93:$AW$93</c:f>
              <c:numCache>
                <c:formatCode>0</c:formatCode>
                <c:ptCount val="41"/>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39C5-4568-999F-FFB9DB22E429}"/>
            </c:ext>
          </c:extLst>
        </c:ser>
        <c:ser>
          <c:idx val="0"/>
          <c:order val="4"/>
          <c:tx>
            <c:v>Ál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Data'!$I$102:$BV$102</c:f>
              <c:numCache>
                <c:formatCode>0</c:formatCode>
                <c:ptCount val="66"/>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4-39C5-4568-999F-FFB9DB22E429}"/>
            </c:ext>
          </c:extLst>
        </c:ser>
        <c:ser>
          <c:idx val="1"/>
          <c:order val="5"/>
          <c:tx>
            <c:v>Kísil WEM</c:v>
          </c:tx>
          <c:spPr>
            <a:ln w="19050" cap="rnd">
              <a:solidFill>
                <a:schemeClr val="accent5">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Data'!$I$103:$BV$103</c:f>
              <c:numCache>
                <c:formatCode>0</c:formatCode>
                <c:ptCount val="66"/>
                <c:pt idx="35">
                  <c:v>384.34514535840748</c:v>
                </c:pt>
                <c:pt idx="36">
                  <c:v>391.52482780919246</c:v>
                </c:pt>
                <c:pt idx="37">
                  <c:v>498.96348623655501</c:v>
                </c:pt>
                <c:pt idx="38">
                  <c:v>502.28647226886665</c:v>
                </c:pt>
                <c:pt idx="39">
                  <c:v>502.28647226886665</c:v>
                </c:pt>
                <c:pt idx="40">
                  <c:v>502.28647226886665</c:v>
                </c:pt>
                <c:pt idx="41">
                  <c:v>502.28647226886665</c:v>
                </c:pt>
                <c:pt idx="42">
                  <c:v>502.28647226886665</c:v>
                </c:pt>
                <c:pt idx="43">
                  <c:v>502.28647226886665</c:v>
                </c:pt>
                <c:pt idx="44">
                  <c:v>502.28647226886665</c:v>
                </c:pt>
                <c:pt idx="45">
                  <c:v>502.28647226886665</c:v>
                </c:pt>
                <c:pt idx="46">
                  <c:v>502.28647226886665</c:v>
                </c:pt>
                <c:pt idx="47">
                  <c:v>502.28647226886665</c:v>
                </c:pt>
                <c:pt idx="48">
                  <c:v>502.28647226886665</c:v>
                </c:pt>
                <c:pt idx="49">
                  <c:v>502.28647226886665</c:v>
                </c:pt>
                <c:pt idx="50">
                  <c:v>502.28647226886665</c:v>
                </c:pt>
                <c:pt idx="51">
                  <c:v>502.28647226886665</c:v>
                </c:pt>
                <c:pt idx="52">
                  <c:v>502.28647226886665</c:v>
                </c:pt>
                <c:pt idx="53">
                  <c:v>502.28647226886665</c:v>
                </c:pt>
                <c:pt idx="54">
                  <c:v>502.28647226886665</c:v>
                </c:pt>
                <c:pt idx="55">
                  <c:v>502.28647226886665</c:v>
                </c:pt>
                <c:pt idx="56">
                  <c:v>502.28647226886665</c:v>
                </c:pt>
                <c:pt idx="57">
                  <c:v>502.28647226886665</c:v>
                </c:pt>
                <c:pt idx="58">
                  <c:v>502.28647226886665</c:v>
                </c:pt>
                <c:pt idx="59">
                  <c:v>502.28647226886665</c:v>
                </c:pt>
                <c:pt idx="60">
                  <c:v>502.28647226886665</c:v>
                </c:pt>
                <c:pt idx="61">
                  <c:v>502.28647226886665</c:v>
                </c:pt>
                <c:pt idx="62">
                  <c:v>502.28647226886665</c:v>
                </c:pt>
                <c:pt idx="63">
                  <c:v>502.28647226886665</c:v>
                </c:pt>
                <c:pt idx="64">
                  <c:v>502.28647226886665</c:v>
                </c:pt>
                <c:pt idx="65">
                  <c:v>502.28647226886665</c:v>
                </c:pt>
              </c:numCache>
            </c:numRef>
          </c:val>
          <c:smooth val="0"/>
          <c:extLst>
            <c:ext xmlns:c16="http://schemas.microsoft.com/office/drawing/2014/chart" uri="{C3380CC4-5D6E-409C-BE32-E72D297353CC}">
              <c16:uniqueId val="{00000005-39C5-4568-999F-FFB9DB22E429}"/>
            </c:ext>
          </c:extLst>
        </c:ser>
        <c:ser>
          <c:idx val="6"/>
          <c:order val="6"/>
          <c:tx>
            <c:v>F-gös WEM</c:v>
          </c:tx>
          <c:spPr>
            <a:ln w="19050" cap="rnd">
              <a:solidFill>
                <a:schemeClr val="accent3">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Data'!$I$104:$BV$104</c:f>
              <c:numCache>
                <c:formatCode>0</c:formatCode>
                <c:ptCount val="66"/>
                <c:pt idx="35">
                  <c:v>105.65811164441938</c:v>
                </c:pt>
                <c:pt idx="36">
                  <c:v>83.939356753838709</c:v>
                </c:pt>
                <c:pt idx="37">
                  <c:v>89.415585047430667</c:v>
                </c:pt>
                <c:pt idx="38">
                  <c:v>43.40472654430534</c:v>
                </c:pt>
                <c:pt idx="39">
                  <c:v>28.595701920471573</c:v>
                </c:pt>
                <c:pt idx="40">
                  <c:v>35.0234903160204</c:v>
                </c:pt>
                <c:pt idx="41">
                  <c:v>17.253346767164082</c:v>
                </c:pt>
                <c:pt idx="42">
                  <c:v>18.009768312055179</c:v>
                </c:pt>
                <c:pt idx="43">
                  <c:v>24.723980294032209</c:v>
                </c:pt>
                <c:pt idx="44">
                  <c:v>14.28694724185282</c:v>
                </c:pt>
                <c:pt idx="45">
                  <c:v>8.928626854732892</c:v>
                </c:pt>
                <c:pt idx="46">
                  <c:v>9.4331922594709194</c:v>
                </c:pt>
                <c:pt idx="47">
                  <c:v>9.5333161155516493</c:v>
                </c:pt>
                <c:pt idx="48">
                  <c:v>9.5715916183487302</c:v>
                </c:pt>
                <c:pt idx="49">
                  <c:v>9.9802058863014569</c:v>
                </c:pt>
                <c:pt idx="50">
                  <c:v>10.355069313046386</c:v>
                </c:pt>
                <c:pt idx="51">
                  <c:v>10.708405895263525</c:v>
                </c:pt>
                <c:pt idx="52">
                  <c:v>10.805327528923454</c:v>
                </c:pt>
                <c:pt idx="53">
                  <c:v>10.913704570280276</c:v>
                </c:pt>
                <c:pt idx="54">
                  <c:v>10.997738385977007</c:v>
                </c:pt>
                <c:pt idx="55">
                  <c:v>11.06138423454213</c:v>
                </c:pt>
                <c:pt idx="56">
                  <c:v>11.190983630440373</c:v>
                </c:pt>
                <c:pt idx="57">
                  <c:v>11.51212490345165</c:v>
                </c:pt>
                <c:pt idx="58">
                  <c:v>11.29416127575184</c:v>
                </c:pt>
                <c:pt idx="59">
                  <c:v>11.200240169565182</c:v>
                </c:pt>
                <c:pt idx="60">
                  <c:v>11.197445895681135</c:v>
                </c:pt>
                <c:pt idx="61">
                  <c:v>11.042578034809972</c:v>
                </c:pt>
                <c:pt idx="62">
                  <c:v>10.912000717167739</c:v>
                </c:pt>
                <c:pt idx="63">
                  <c:v>10.818690929789394</c:v>
                </c:pt>
                <c:pt idx="64">
                  <c:v>10.774930000739039</c:v>
                </c:pt>
                <c:pt idx="65">
                  <c:v>10.767865370664548</c:v>
                </c:pt>
              </c:numCache>
            </c:numRef>
          </c:val>
          <c:smooth val="0"/>
          <c:extLst>
            <c:ext xmlns:c16="http://schemas.microsoft.com/office/drawing/2014/chart" uri="{C3380CC4-5D6E-409C-BE32-E72D297353CC}">
              <c16:uniqueId val="{00000006-39C5-4568-999F-FFB9DB22E429}"/>
            </c:ext>
          </c:extLst>
        </c:ser>
        <c:ser>
          <c:idx val="7"/>
          <c:order val="7"/>
          <c:tx>
            <c:v>Annað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Data'!$I$105:$BV$105</c:f>
              <c:numCache>
                <c:formatCode>0</c:formatCode>
                <c:ptCount val="66"/>
                <c:pt idx="35">
                  <c:v>14.100085963613324</c:v>
                </c:pt>
                <c:pt idx="36">
                  <c:v>12.457258753087707</c:v>
                </c:pt>
                <c:pt idx="37">
                  <c:v>12.933042514187779</c:v>
                </c:pt>
                <c:pt idx="38">
                  <c:v>13.063753849378106</c:v>
                </c:pt>
                <c:pt idx="39">
                  <c:v>13.187485024603006</c:v>
                </c:pt>
                <c:pt idx="40">
                  <c:v>13.302852194648626</c:v>
                </c:pt>
                <c:pt idx="41">
                  <c:v>13.415899296994919</c:v>
                </c:pt>
                <c:pt idx="42">
                  <c:v>13.527838399391985</c:v>
                </c:pt>
                <c:pt idx="43">
                  <c:v>13.635103097539627</c:v>
                </c:pt>
                <c:pt idx="44">
                  <c:v>13.737744572784212</c:v>
                </c:pt>
                <c:pt idx="45">
                  <c:v>13.834464293756255</c:v>
                </c:pt>
                <c:pt idx="46">
                  <c:v>13.919602576492693</c:v>
                </c:pt>
                <c:pt idx="47">
                  <c:v>13.997674454821237</c:v>
                </c:pt>
                <c:pt idx="48">
                  <c:v>14.068020704491673</c:v>
                </c:pt>
                <c:pt idx="49">
                  <c:v>14.133895140904283</c:v>
                </c:pt>
                <c:pt idx="50">
                  <c:v>14.190174602566191</c:v>
                </c:pt>
                <c:pt idx="51">
                  <c:v>14.248225315786167</c:v>
                </c:pt>
                <c:pt idx="52">
                  <c:v>14.305094493319466</c:v>
                </c:pt>
                <c:pt idx="53">
                  <c:v>14.359007293380209</c:v>
                </c:pt>
                <c:pt idx="54">
                  <c:v>14.418187896443584</c:v>
                </c:pt>
                <c:pt idx="55">
                  <c:v>14.481333387474374</c:v>
                </c:pt>
                <c:pt idx="56">
                  <c:v>14.546797201833291</c:v>
                </c:pt>
                <c:pt idx="57">
                  <c:v>14.6138416528891</c:v>
                </c:pt>
                <c:pt idx="58">
                  <c:v>14.685825200136447</c:v>
                </c:pt>
                <c:pt idx="59">
                  <c:v>14.757770996732344</c:v>
                </c:pt>
                <c:pt idx="60">
                  <c:v>14.831124031510264</c:v>
                </c:pt>
                <c:pt idx="61">
                  <c:v>14.909660322956817</c:v>
                </c:pt>
                <c:pt idx="62">
                  <c:v>14.989950438842957</c:v>
                </c:pt>
                <c:pt idx="63">
                  <c:v>15.078137437717061</c:v>
                </c:pt>
                <c:pt idx="64">
                  <c:v>15.177079288555348</c:v>
                </c:pt>
                <c:pt idx="65">
                  <c:v>15.27925300403302</c:v>
                </c:pt>
              </c:numCache>
            </c:numRef>
          </c:val>
          <c:smooth val="0"/>
          <c:extLst>
            <c:ext xmlns:c16="http://schemas.microsoft.com/office/drawing/2014/chart" uri="{C3380CC4-5D6E-409C-BE32-E72D297353CC}">
              <c16:uniqueId val="{00000007-39C5-4568-999F-FFB9DB22E429}"/>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046040934991209"/>
          <c:y val="0.32155185185185187"/>
          <c:w val="0.25953959065008791"/>
          <c:h val="0.365523148148148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86047342673715E-2"/>
          <c:y val="3.2337962962962964E-2"/>
          <c:w val="0.65514891304347822"/>
          <c:h val="0.88088796296296301"/>
        </c:manualLayout>
      </c:layout>
      <c:barChart>
        <c:barDir val="col"/>
        <c:grouping val="stacked"/>
        <c:varyColors val="0"/>
        <c:ser>
          <c:idx val="2"/>
          <c:order val="0"/>
          <c:tx>
            <c:strRef>
              <c:f>'Talnagögn | Numerical Data'!$E$188</c:f>
              <c:strCache>
                <c:ptCount val="1"/>
                <c:pt idx="0">
                  <c:v>Nytjajarðvegur</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extLst>
            <c:ext xmlns:c16="http://schemas.microsoft.com/office/drawing/2014/chart" uri="{C3380CC4-5D6E-409C-BE32-E72D297353CC}">
              <c16:uniqueId val="{00000000-1D5C-45D0-A962-DC7112C10B66}"/>
            </c:ext>
          </c:extLst>
        </c:ser>
        <c:ser>
          <c:idx val="0"/>
          <c:order val="1"/>
          <c:tx>
            <c:strRef>
              <c:f>'Talnagögn | Numerical Data'!$E$186</c:f>
              <c:strCache>
                <c:ptCount val="1"/>
                <c:pt idx="0">
                  <c:v>Iðragerjun</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extLst>
            <c:ext xmlns:c16="http://schemas.microsoft.com/office/drawing/2014/chart" uri="{C3380CC4-5D6E-409C-BE32-E72D297353CC}">
              <c16:uniqueId val="{00000001-1D5C-45D0-A962-DC7112C10B66}"/>
            </c:ext>
          </c:extLst>
        </c:ser>
        <c:ser>
          <c:idx val="1"/>
          <c:order val="2"/>
          <c:tx>
            <c:strRef>
              <c:f>'Talnagögn | Numerical Data'!$E$187</c:f>
              <c:strCache>
                <c:ptCount val="1"/>
                <c:pt idx="0">
                  <c:v>Meðhöndlun húsdýraáburðar</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extLst>
            <c:ext xmlns:c16="http://schemas.microsoft.com/office/drawing/2014/chart" uri="{C3380CC4-5D6E-409C-BE32-E72D297353CC}">
              <c16:uniqueId val="{00000002-1D5C-45D0-A962-DC7112C10B66}"/>
            </c:ext>
          </c:extLst>
        </c:ser>
        <c:ser>
          <c:idx val="3"/>
          <c:order val="3"/>
          <c:tx>
            <c:strRef>
              <c:f>'Talnagögn | Numerical Data'!$E$189</c:f>
              <c:strCache>
                <c:ptCount val="1"/>
                <c:pt idx="0">
                  <c:v>Kölkun og CO₂-losun frá áburði</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extLst>
            <c:ext xmlns:c16="http://schemas.microsoft.com/office/drawing/2014/chart" uri="{C3380CC4-5D6E-409C-BE32-E72D297353CC}">
              <c16:uniqueId val="{00000003-1D5C-45D0-A962-DC7112C10B66}"/>
            </c:ext>
          </c:extLst>
        </c:ser>
        <c:dLbls>
          <c:showLegendKey val="0"/>
          <c:showVal val="0"/>
          <c:showCatName val="0"/>
          <c:showSerName val="0"/>
          <c:showPercent val="0"/>
          <c:showBubbleSize val="0"/>
        </c:dLbls>
        <c:gapWidth val="55"/>
        <c:overlap val="100"/>
        <c:axId val="439398384"/>
        <c:axId val="439399464"/>
      </c:bar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9251207729467844E-5"/>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5116986992366386"/>
          <c:y val="0.36378703703703696"/>
          <c:w val="0.24883013007633617"/>
          <c:h val="0.263606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87014504484337E-2"/>
          <c:y val="3.2337962962962964E-2"/>
          <c:w val="0.64704879227053136"/>
          <c:h val="0.88088796296296301"/>
        </c:manualLayout>
      </c:layout>
      <c:lineChart>
        <c:grouping val="standard"/>
        <c:varyColors val="0"/>
        <c:ser>
          <c:idx val="2"/>
          <c:order val="0"/>
          <c:tx>
            <c:strRef>
              <c:f>'Talnagögn | Numerical Data'!$E$188</c:f>
              <c:strCache>
                <c:ptCount val="1"/>
                <c:pt idx="0">
                  <c:v>Nytjajarðvegur</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smooth val="0"/>
          <c:extLst>
            <c:ext xmlns:c16="http://schemas.microsoft.com/office/drawing/2014/chart" uri="{C3380CC4-5D6E-409C-BE32-E72D297353CC}">
              <c16:uniqueId val="{00000000-9BE5-41BF-AA5E-8B5260797321}"/>
            </c:ext>
          </c:extLst>
        </c:ser>
        <c:ser>
          <c:idx val="0"/>
          <c:order val="1"/>
          <c:tx>
            <c:strRef>
              <c:f>'Talnagögn | Numerical Data'!$E$186</c:f>
              <c:strCache>
                <c:ptCount val="1"/>
                <c:pt idx="0">
                  <c:v>Iðragerjun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smooth val="0"/>
          <c:extLst>
            <c:ext xmlns:c16="http://schemas.microsoft.com/office/drawing/2014/chart" uri="{C3380CC4-5D6E-409C-BE32-E72D297353CC}">
              <c16:uniqueId val="{00000001-9BE5-41BF-AA5E-8B5260797321}"/>
            </c:ext>
          </c:extLst>
        </c:ser>
        <c:ser>
          <c:idx val="1"/>
          <c:order val="2"/>
          <c:tx>
            <c:strRef>
              <c:f>'Talnagögn | Numerical Data'!$E$187</c:f>
              <c:strCache>
                <c:ptCount val="1"/>
                <c:pt idx="0">
                  <c:v>Meðhöndlun húsdýraáburðar</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smooth val="0"/>
          <c:extLst>
            <c:ext xmlns:c16="http://schemas.microsoft.com/office/drawing/2014/chart" uri="{C3380CC4-5D6E-409C-BE32-E72D297353CC}">
              <c16:uniqueId val="{00000002-9BE5-41BF-AA5E-8B5260797321}"/>
            </c:ext>
          </c:extLst>
        </c:ser>
        <c:ser>
          <c:idx val="3"/>
          <c:order val="3"/>
          <c:tx>
            <c:strRef>
              <c:f>'Talnagögn | Numerical Data'!$E$189</c:f>
              <c:strCache>
                <c:ptCount val="1"/>
                <c:pt idx="0">
                  <c:v>Kölkun og CO₂-losun frá áburði</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smooth val="0"/>
          <c:extLst>
            <c:ext xmlns:c16="http://schemas.microsoft.com/office/drawing/2014/chart" uri="{C3380CC4-5D6E-409C-BE32-E72D297353CC}">
              <c16:uniqueId val="{00000003-9BE5-41BF-AA5E-8B5260797321}"/>
            </c:ext>
          </c:extLst>
        </c:ser>
        <c:dLbls>
          <c:showLegendKey val="0"/>
          <c:showVal val="0"/>
          <c:showCatName val="0"/>
          <c:showSerName val="0"/>
          <c:showPercent val="0"/>
          <c:showBubbleSize val="0"/>
        </c:dLbls>
        <c:smooth val="0"/>
        <c:axId val="439398384"/>
        <c:axId val="439399464"/>
      </c:line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solidFill>
          <a:schemeClr val="bg1"/>
        </a:solidFill>
        <a:ln>
          <a:noFill/>
        </a:ln>
        <a:effectLst/>
      </c:spPr>
    </c:plotArea>
    <c:legend>
      <c:legendPos val="r"/>
      <c:layout>
        <c:manualLayout>
          <c:xMode val="edge"/>
          <c:yMode val="edge"/>
          <c:x val="0.74212705314009664"/>
          <c:y val="0.36672685185185183"/>
          <c:w val="0.25787294685990336"/>
          <c:h val="0.2871250000000000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413164251207712E-2"/>
          <c:y val="3.8217592592592595E-2"/>
          <c:w val="0.63631183574879224"/>
          <c:h val="0.87500833333333339"/>
        </c:manualLayout>
      </c:layout>
      <c:lineChart>
        <c:grouping val="standard"/>
        <c:varyColors val="0"/>
        <c:ser>
          <c:idx val="0"/>
          <c:order val="0"/>
          <c:tx>
            <c:strRef>
              <c:f>'Talnagögn | Numerical Data'!$E$230</c:f>
              <c:strCache>
                <c:ptCount val="1"/>
                <c:pt idx="0">
                  <c:v>Urðun úrgangs</c:v>
                </c:pt>
              </c:strCache>
            </c:strRef>
          </c:tx>
          <c:spPr>
            <a:ln w="19050"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Data'!$I$230:$AX$230</c:f>
              <c:numCache>
                <c:formatCode>0</c:formatCode>
                <c:ptCount val="42"/>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11B2-442E-A850-22C546C83008}"/>
            </c:ext>
          </c:extLst>
        </c:ser>
        <c:ser>
          <c:idx val="3"/>
          <c:order val="1"/>
          <c:tx>
            <c:strRef>
              <c:f>'Talnagögn | Numerical Data'!$E$233</c:f>
              <c:strCache>
                <c:ptCount val="1"/>
                <c:pt idx="0">
                  <c:v>Meðhöndlun skólps</c:v>
                </c:pt>
              </c:strCache>
            </c:strRef>
          </c:tx>
          <c:spPr>
            <a:ln w="19050" cap="rnd">
              <a:solidFill>
                <a:schemeClr val="accent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Data'!$I$233:$AX$233</c:f>
              <c:numCache>
                <c:formatCode>0</c:formatCode>
                <c:ptCount val="42"/>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11B2-442E-A850-22C546C83008}"/>
            </c:ext>
          </c:extLst>
        </c:ser>
        <c:ser>
          <c:idx val="2"/>
          <c:order val="2"/>
          <c:tx>
            <c:strRef>
              <c:f>'Talnagögn | Numerical Data'!$E$232</c:f>
              <c:strCache>
                <c:ptCount val="1"/>
                <c:pt idx="0">
                  <c:v>Brennsla og opinn bruni</c:v>
                </c:pt>
              </c:strCache>
            </c:strRef>
          </c:tx>
          <c:spPr>
            <a:ln w="19050" cap="rnd">
              <a:solidFill>
                <a:schemeClr val="accent5"/>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Data'!$I$232:$AX$232</c:f>
              <c:numCache>
                <c:formatCode>0</c:formatCode>
                <c:ptCount val="42"/>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11B2-442E-A850-22C546C83008}"/>
            </c:ext>
          </c:extLst>
        </c:ser>
        <c:ser>
          <c:idx val="1"/>
          <c:order val="3"/>
          <c:tx>
            <c:strRef>
              <c:f>'Talnagögn | Numerical Data'!$E$231</c:f>
              <c:strCache>
                <c:ptCount val="1"/>
                <c:pt idx="0">
                  <c:v>Jarðgerð</c:v>
                </c:pt>
              </c:strCache>
            </c:strRef>
          </c:tx>
          <c:spPr>
            <a:ln w="19050" cap="rnd">
              <a:solidFill>
                <a:schemeClr val="tx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Data'!$I$231:$AX$231</c:f>
              <c:numCache>
                <c:formatCode>0</c:formatCode>
                <c:ptCount val="42"/>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11B2-442E-A850-22C546C83008}"/>
            </c:ext>
          </c:extLst>
        </c:ser>
        <c:ser>
          <c:idx val="7"/>
          <c:order val="4"/>
          <c:tx>
            <c:v>Urðun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Data'!$I$237:$BV$237</c:f>
              <c:numCache>
                <c:formatCode>0</c:formatCode>
                <c:ptCount val="66"/>
                <c:pt idx="35">
                  <c:v>185.03247377735417</c:v>
                </c:pt>
                <c:pt idx="36">
                  <c:v>171.31904905630469</c:v>
                </c:pt>
                <c:pt idx="37">
                  <c:v>158.84251370288135</c:v>
                </c:pt>
                <c:pt idx="38">
                  <c:v>147.55225632502373</c:v>
                </c:pt>
                <c:pt idx="39">
                  <c:v>132.55179549482176</c:v>
                </c:pt>
                <c:pt idx="40">
                  <c:v>119.76810307975666</c:v>
                </c:pt>
                <c:pt idx="41">
                  <c:v>108.86960495124578</c:v>
                </c:pt>
                <c:pt idx="42">
                  <c:v>99.208261775340873</c:v>
                </c:pt>
                <c:pt idx="43">
                  <c:v>90.65056432607156</c:v>
                </c:pt>
                <c:pt idx="44">
                  <c:v>82.772328587101725</c:v>
                </c:pt>
                <c:pt idx="45">
                  <c:v>75.996575943509157</c:v>
                </c:pt>
                <c:pt idx="46">
                  <c:v>70.16803013532919</c:v>
                </c:pt>
                <c:pt idx="47">
                  <c:v>65.26977570881796</c:v>
                </c:pt>
                <c:pt idx="48">
                  <c:v>61.196245454932786</c:v>
                </c:pt>
                <c:pt idx="49">
                  <c:v>56.419679366036917</c:v>
                </c:pt>
                <c:pt idx="50">
                  <c:v>51.982755790689254</c:v>
                </c:pt>
                <c:pt idx="51">
                  <c:v>48.009192387623116</c:v>
                </c:pt>
                <c:pt idx="52">
                  <c:v>44.441106989772869</c:v>
                </c:pt>
                <c:pt idx="53">
                  <c:v>41.229045868042888</c:v>
                </c:pt>
                <c:pt idx="54">
                  <c:v>38.330654757061637</c:v>
                </c:pt>
                <c:pt idx="55">
                  <c:v>35.709567280563412</c:v>
                </c:pt>
                <c:pt idx="56">
                  <c:v>33.33447461794875</c:v>
                </c:pt>
                <c:pt idx="57">
                  <c:v>31.178346313864854</c:v>
                </c:pt>
                <c:pt idx="58">
                  <c:v>29.217777173448376</c:v>
                </c:pt>
                <c:pt idx="59">
                  <c:v>27.432439379004055</c:v>
                </c:pt>
                <c:pt idx="60">
                  <c:v>25.80462245219449</c:v>
                </c:pt>
                <c:pt idx="61">
                  <c:v>24.318846588025547</c:v>
                </c:pt>
                <c:pt idx="62">
                  <c:v>22.961537301747502</c:v>
                </c:pt>
                <c:pt idx="63">
                  <c:v>21.720751339318248</c:v>
                </c:pt>
                <c:pt idx="64">
                  <c:v>20.585945474521356</c:v>
                </c:pt>
                <c:pt idx="65">
                  <c:v>19.547781207924992</c:v>
                </c:pt>
              </c:numCache>
            </c:numRef>
          </c:val>
          <c:smooth val="0"/>
          <c:extLst>
            <c:ext xmlns:c16="http://schemas.microsoft.com/office/drawing/2014/chart" uri="{C3380CC4-5D6E-409C-BE32-E72D297353CC}">
              <c16:uniqueId val="{00000004-11B2-442E-A850-22C546C83008}"/>
            </c:ext>
          </c:extLst>
        </c:ser>
        <c:ser>
          <c:idx val="8"/>
          <c:order val="5"/>
          <c:tx>
            <c:v>Jarðgerð WEM</c:v>
          </c:tx>
          <c:spPr>
            <a:ln w="19050" cap="rnd">
              <a:solidFill>
                <a:schemeClr val="tx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Data'!$I$238:$BV$238</c:f>
              <c:numCache>
                <c:formatCode>0</c:formatCode>
                <c:ptCount val="66"/>
                <c:pt idx="35">
                  <c:v>6.035782317557894</c:v>
                </c:pt>
                <c:pt idx="36" formatCode="0.0">
                  <c:v>6.2401543558118107</c:v>
                </c:pt>
                <c:pt idx="37" formatCode="0.0">
                  <c:v>6.4435841255561987</c:v>
                </c:pt>
                <c:pt idx="38" formatCode="0.0">
                  <c:v>6.6470138953005868</c:v>
                </c:pt>
                <c:pt idx="39" formatCode="0.0">
                  <c:v>6.850443665044974</c:v>
                </c:pt>
                <c:pt idx="40" formatCode="0.0">
                  <c:v>7.053873434789363</c:v>
                </c:pt>
                <c:pt idx="41" formatCode="0.0">
                  <c:v>7.1951823780878632</c:v>
                </c:pt>
                <c:pt idx="42" formatCode="0.0">
                  <c:v>7.3364913213863634</c:v>
                </c:pt>
                <c:pt idx="43" formatCode="0.0">
                  <c:v>7.4778002646848618</c:v>
                </c:pt>
                <c:pt idx="44" formatCode="0.0">
                  <c:v>7.6191092079833611</c:v>
                </c:pt>
                <c:pt idx="45" formatCode="0.0">
                  <c:v>7.7604181512818613</c:v>
                </c:pt>
                <c:pt idx="46" formatCode="0.0">
                  <c:v>7.9017270945803606</c:v>
                </c:pt>
                <c:pt idx="47" formatCode="0.0">
                  <c:v>8.0430360378788599</c:v>
                </c:pt>
                <c:pt idx="48" formatCode="0.0">
                  <c:v>8.1843449811773592</c:v>
                </c:pt>
                <c:pt idx="49" formatCode="0.0">
                  <c:v>8.3256539244758567</c:v>
                </c:pt>
                <c:pt idx="50" formatCode="0.0">
                  <c:v>8.4669628677743578</c:v>
                </c:pt>
                <c:pt idx="51" formatCode="0.0">
                  <c:v>8.6082718110728571</c:v>
                </c:pt>
                <c:pt idx="52" formatCode="0.0">
                  <c:v>8.7495807543713564</c:v>
                </c:pt>
                <c:pt idx="53" formatCode="0.0">
                  <c:v>8.8908896976698557</c:v>
                </c:pt>
                <c:pt idx="54" formatCode="0.0">
                  <c:v>9.0321986409683532</c:v>
                </c:pt>
                <c:pt idx="55" formatCode="0.0">
                  <c:v>9.1735075842668543</c:v>
                </c:pt>
                <c:pt idx="56" formatCode="0.0">
                  <c:v>9.3148165275653536</c:v>
                </c:pt>
                <c:pt idx="57" formatCode="0.0">
                  <c:v>9.4561254708638529</c:v>
                </c:pt>
                <c:pt idx="58" formatCode="0.0">
                  <c:v>9.5974344141623522</c:v>
                </c:pt>
                <c:pt idx="59" formatCode="0.0">
                  <c:v>9.7387433574608515</c:v>
                </c:pt>
                <c:pt idx="60" formatCode="0.0">
                  <c:v>9.8800523007593508</c:v>
                </c:pt>
                <c:pt idx="61" formatCode="0.0">
                  <c:v>10.021361244057852</c:v>
                </c:pt>
                <c:pt idx="62" formatCode="0.0">
                  <c:v>10.162670187356349</c:v>
                </c:pt>
                <c:pt idx="63" formatCode="0.0">
                  <c:v>10.30397913065485</c:v>
                </c:pt>
                <c:pt idx="64" formatCode="0.0">
                  <c:v>10.445288073953348</c:v>
                </c:pt>
                <c:pt idx="65" formatCode="0.0">
                  <c:v>10.586597017251847</c:v>
                </c:pt>
              </c:numCache>
            </c:numRef>
          </c:val>
          <c:smooth val="0"/>
          <c:extLst>
            <c:ext xmlns:c16="http://schemas.microsoft.com/office/drawing/2014/chart" uri="{C3380CC4-5D6E-409C-BE32-E72D297353CC}">
              <c16:uniqueId val="{00000005-11B2-442E-A850-22C546C83008}"/>
            </c:ext>
          </c:extLst>
        </c:ser>
        <c:ser>
          <c:idx val="9"/>
          <c:order val="6"/>
          <c:tx>
            <c:v>Brennsla WEM</c:v>
          </c:tx>
          <c:spPr>
            <a:ln w="19050" cap="rnd">
              <a:solidFill>
                <a:schemeClr val="accent5"/>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Data'!$I$239:$BV$239</c:f>
              <c:numCache>
                <c:formatCode>0</c:formatCode>
                <c:ptCount val="66"/>
                <c:pt idx="35">
                  <c:v>7.4483956660185804</c:v>
                </c:pt>
                <c:pt idx="36" formatCode="0.0">
                  <c:v>7.0743651773084011</c:v>
                </c:pt>
                <c:pt idx="37" formatCode="0.0">
                  <c:v>7.1590596462787062</c:v>
                </c:pt>
                <c:pt idx="38" formatCode="0.0">
                  <c:v>7.1769663168528144</c:v>
                </c:pt>
                <c:pt idx="39" formatCode="0.0">
                  <c:v>7.180701573118311</c:v>
                </c:pt>
                <c:pt idx="40" formatCode="0.0">
                  <c:v>7.1814785324049328</c:v>
                </c:pt>
                <c:pt idx="41" formatCode="0.0">
                  <c:v>7.1816400502325877</c:v>
                </c:pt>
                <c:pt idx="42" formatCode="0.0">
                  <c:v>9.6765662849523366</c:v>
                </c:pt>
                <c:pt idx="43" formatCode="0.0">
                  <c:v>16.610077861832693</c:v>
                </c:pt>
                <c:pt idx="44" formatCode="0.0">
                  <c:v>16.610077861832693</c:v>
                </c:pt>
                <c:pt idx="45" formatCode="0.0">
                  <c:v>16.610077861832693</c:v>
                </c:pt>
                <c:pt idx="46" formatCode="0.0">
                  <c:v>16.610077861832693</c:v>
                </c:pt>
                <c:pt idx="47" formatCode="0.0">
                  <c:v>16.610077861832693</c:v>
                </c:pt>
                <c:pt idx="48" formatCode="0.0">
                  <c:v>16.610077861832693</c:v>
                </c:pt>
                <c:pt idx="49" formatCode="0.0">
                  <c:v>16.610077861832693</c:v>
                </c:pt>
                <c:pt idx="50" formatCode="0.0">
                  <c:v>16.610077861832693</c:v>
                </c:pt>
                <c:pt idx="51" formatCode="0.0">
                  <c:v>16.610077861832693</c:v>
                </c:pt>
                <c:pt idx="52" formatCode="0.0">
                  <c:v>16.610077861832693</c:v>
                </c:pt>
                <c:pt idx="53" formatCode="0.0">
                  <c:v>16.610077861832693</c:v>
                </c:pt>
                <c:pt idx="54" formatCode="0.0">
                  <c:v>16.610077861832693</c:v>
                </c:pt>
                <c:pt idx="55" formatCode="0.0">
                  <c:v>16.610077861832693</c:v>
                </c:pt>
                <c:pt idx="56" formatCode="0.0">
                  <c:v>16.610077861832693</c:v>
                </c:pt>
                <c:pt idx="57" formatCode="0.0">
                  <c:v>16.610077861832693</c:v>
                </c:pt>
                <c:pt idx="58" formatCode="0.0">
                  <c:v>16.610077861832693</c:v>
                </c:pt>
                <c:pt idx="59" formatCode="0.0">
                  <c:v>16.610077861832693</c:v>
                </c:pt>
                <c:pt idx="60" formatCode="0.0">
                  <c:v>16.610077861832693</c:v>
                </c:pt>
                <c:pt idx="61" formatCode="0.0">
                  <c:v>16.610077861832693</c:v>
                </c:pt>
                <c:pt idx="62" formatCode="0.0">
                  <c:v>16.610077861832693</c:v>
                </c:pt>
                <c:pt idx="63" formatCode="0.0">
                  <c:v>16.610077861832693</c:v>
                </c:pt>
                <c:pt idx="64" formatCode="0.0">
                  <c:v>16.610077861832693</c:v>
                </c:pt>
                <c:pt idx="65" formatCode="0.0">
                  <c:v>16.610077861832693</c:v>
                </c:pt>
              </c:numCache>
            </c:numRef>
          </c:val>
          <c:smooth val="0"/>
          <c:extLst>
            <c:ext xmlns:c16="http://schemas.microsoft.com/office/drawing/2014/chart" uri="{C3380CC4-5D6E-409C-BE32-E72D297353CC}">
              <c16:uniqueId val="{00000006-11B2-442E-A850-22C546C83008}"/>
            </c:ext>
          </c:extLst>
        </c:ser>
        <c:ser>
          <c:idx val="10"/>
          <c:order val="7"/>
          <c:tx>
            <c:v>Fráveita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Data'!$I$240:$BV$240</c:f>
              <c:numCache>
                <c:formatCode>0</c:formatCode>
                <c:ptCount val="66"/>
                <c:pt idx="35">
                  <c:v>24.075251834056697</c:v>
                </c:pt>
                <c:pt idx="36">
                  <c:v>23.525281683721055</c:v>
                </c:pt>
                <c:pt idx="37">
                  <c:v>23.923852610944948</c:v>
                </c:pt>
                <c:pt idx="38">
                  <c:v>24.21387324469984</c:v>
                </c:pt>
                <c:pt idx="39">
                  <c:v>24.500377139176024</c:v>
                </c:pt>
                <c:pt idx="40">
                  <c:v>24.78441973689533</c:v>
                </c:pt>
                <c:pt idx="41">
                  <c:v>25.04745161259823</c:v>
                </c:pt>
                <c:pt idx="42">
                  <c:v>25.304634875155571</c:v>
                </c:pt>
                <c:pt idx="43">
                  <c:v>25.553211755397385</c:v>
                </c:pt>
                <c:pt idx="44">
                  <c:v>25.796484767021049</c:v>
                </c:pt>
                <c:pt idx="45">
                  <c:v>26.034896514955093</c:v>
                </c:pt>
                <c:pt idx="46">
                  <c:v>26.267834161606181</c:v>
                </c:pt>
                <c:pt idx="47">
                  <c:v>26.493731566458017</c:v>
                </c:pt>
                <c:pt idx="48">
                  <c:v>26.712180171115058</c:v>
                </c:pt>
                <c:pt idx="49">
                  <c:v>26.923622580505807</c:v>
                </c:pt>
                <c:pt idx="50">
                  <c:v>27.122713488955114</c:v>
                </c:pt>
                <c:pt idx="51">
                  <c:v>27.308744760688896</c:v>
                </c:pt>
                <c:pt idx="52">
                  <c:v>27.489068851415446</c:v>
                </c:pt>
                <c:pt idx="53">
                  <c:v>27.65997468904181</c:v>
                </c:pt>
                <c:pt idx="54">
                  <c:v>27.823505065545774</c:v>
                </c:pt>
                <c:pt idx="55">
                  <c:v>27.97850239880659</c:v>
                </c:pt>
                <c:pt idx="56">
                  <c:v>28.126839248137209</c:v>
                </c:pt>
                <c:pt idx="57">
                  <c:v>28.267153752219123</c:v>
                </c:pt>
                <c:pt idx="58">
                  <c:v>28.386337995861666</c:v>
                </c:pt>
                <c:pt idx="59">
                  <c:v>28.500734314886969</c:v>
                </c:pt>
                <c:pt idx="60">
                  <c:v>28.608504196515042</c:v>
                </c:pt>
                <c:pt idx="61">
                  <c:v>28.705844645555104</c:v>
                </c:pt>
                <c:pt idx="62">
                  <c:v>28.794697762809534</c:v>
                </c:pt>
                <c:pt idx="63">
                  <c:v>28.878297968909813</c:v>
                </c:pt>
                <c:pt idx="64">
                  <c:v>28.957326194515183</c:v>
                </c:pt>
                <c:pt idx="65">
                  <c:v>29.0239517370442</c:v>
                </c:pt>
              </c:numCache>
            </c:numRef>
          </c:val>
          <c:smooth val="0"/>
          <c:extLst>
            <c:ext xmlns:c16="http://schemas.microsoft.com/office/drawing/2014/chart" uri="{C3380CC4-5D6E-409C-BE32-E72D297353CC}">
              <c16:uniqueId val="{00000007-11B2-442E-A850-22C546C83008}"/>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max val="4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5565064989638786"/>
          <c:y val="0.34614814814814815"/>
          <c:w val="0.21863768942262518"/>
          <c:h val="0.2988842592592592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02794918946606E-2"/>
          <c:y val="4.7037037037037037E-2"/>
          <c:w val="0.63457198067632847"/>
          <c:h val="0.88088796296296301"/>
        </c:manualLayout>
      </c:layout>
      <c:lineChart>
        <c:grouping val="standard"/>
        <c:varyColors val="0"/>
        <c:ser>
          <c:idx val="0"/>
          <c:order val="0"/>
          <c:tx>
            <c:strRef>
              <c:f>'Talnagögn | Numerical Data'!$E$248</c:f>
              <c:strCache>
                <c:ptCount val="1"/>
                <c:pt idx="0">
                  <c:v>Alþjóðaflug</c:v>
                </c:pt>
              </c:strCache>
            </c:strRef>
          </c:tx>
          <c:spPr>
            <a:ln w="19050" cap="rnd">
              <a:solidFill>
                <a:schemeClr val="bg1">
                  <a:lumMod val="5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2D81-4DD6-9C4A-CE66D845C5CF}"/>
            </c:ext>
          </c:extLst>
        </c:ser>
        <c:ser>
          <c:idx val="1"/>
          <c:order val="1"/>
          <c:tx>
            <c:strRef>
              <c:f>'Talnagögn | Numerical Data'!$E$249</c:f>
              <c:strCache>
                <c:ptCount val="1"/>
                <c:pt idx="0">
                  <c:v>Alþjóðasiglingar</c:v>
                </c:pt>
              </c:strCache>
            </c:strRef>
          </c:tx>
          <c:spPr>
            <a:ln w="19050" cap="rnd">
              <a:solidFill>
                <a:schemeClr val="bg1">
                  <a:lumMod val="75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2D81-4DD6-9C4A-CE66D845C5CF}"/>
            </c:ext>
          </c:extLst>
        </c:ser>
        <c:dLbls>
          <c:showLegendKey val="0"/>
          <c:showVal val="0"/>
          <c:showCatName val="0"/>
          <c:showSerName val="0"/>
          <c:showPercent val="0"/>
          <c:showBubbleSize val="0"/>
        </c:dLbls>
        <c:smooth val="0"/>
        <c:axId val="1010444872"/>
        <c:axId val="1010443072"/>
      </c:line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69253472222222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592727053140097"/>
          <c:y val="0.40837499999999999"/>
          <c:w val="0.16288288238061577"/>
          <c:h val="0.1685509259259259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12053140096614"/>
          <c:h val="0.8754916198981505"/>
        </c:manualLayout>
      </c:layout>
      <c:lineChart>
        <c:grouping val="standard"/>
        <c:varyColors val="0"/>
        <c:ser>
          <c:idx val="1"/>
          <c:order val="0"/>
          <c:tx>
            <c:strRef>
              <c:f>'Talnagögn | Numerical Data'!$E$248</c:f>
              <c:strCache>
                <c:ptCount val="1"/>
                <c:pt idx="0">
                  <c:v>Alþjóðaflug</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Data'!$I$248:$AW$248</c:f>
              <c:numCache>
                <c:formatCode>0</c:formatCode>
                <c:ptCount val="41"/>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7ED8-4B1A-940D-567B80632772}"/>
            </c:ext>
          </c:extLst>
        </c:ser>
        <c:ser>
          <c:idx val="2"/>
          <c:order val="1"/>
          <c:tx>
            <c:strRef>
              <c:f>'Talnagögn | Numerical Data'!$E$249</c:f>
              <c:strCache>
                <c:ptCount val="1"/>
                <c:pt idx="0">
                  <c:v>Alþjóðasiglingar</c:v>
                </c:pt>
              </c:strCache>
            </c:strRef>
          </c:tx>
          <c:spPr>
            <a:ln>
              <a:solidFill>
                <a:schemeClr val="bg1">
                  <a:lumMod val="75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Data'!$I$249:$AW$249</c:f>
              <c:numCache>
                <c:formatCode>0</c:formatCode>
                <c:ptCount val="41"/>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7ED8-4B1A-940D-567B80632772}"/>
            </c:ext>
          </c:extLst>
        </c:ser>
        <c:ser>
          <c:idx val="0"/>
          <c:order val="2"/>
          <c:tx>
            <c:v>Flug WEM</c:v>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Data'!$I$253:$BV$253</c:f>
              <c:numCache>
                <c:formatCode>0</c:formatCode>
                <c:ptCount val="66"/>
                <c:pt idx="35">
                  <c:v>1009.6475620140002</c:v>
                </c:pt>
                <c:pt idx="36">
                  <c:v>926.77185468000005</c:v>
                </c:pt>
                <c:pt idx="37">
                  <c:v>936.30327588</c:v>
                </c:pt>
                <c:pt idx="38">
                  <c:v>927.22790530339216</c:v>
                </c:pt>
                <c:pt idx="39">
                  <c:v>936.56929719729624</c:v>
                </c:pt>
                <c:pt idx="40">
                  <c:v>907.30171584864001</c:v>
                </c:pt>
                <c:pt idx="41">
                  <c:v>918.35201505297596</c:v>
                </c:pt>
                <c:pt idx="42">
                  <c:v>927.90788856292795</c:v>
                </c:pt>
                <c:pt idx="43">
                  <c:v>935.9737558456319</c:v>
                </c:pt>
                <c:pt idx="44">
                  <c:v>942.24385668974401</c:v>
                </c:pt>
                <c:pt idx="45">
                  <c:v>805.72253311367979</c:v>
                </c:pt>
                <c:pt idx="46">
                  <c:v>809.53508603217597</c:v>
                </c:pt>
                <c:pt idx="47">
                  <c:v>812.84050509681606</c:v>
                </c:pt>
                <c:pt idx="48">
                  <c:v>816.14290782326418</c:v>
                </c:pt>
                <c:pt idx="49">
                  <c:v>819.19475996097617</c:v>
                </c:pt>
                <c:pt idx="50">
                  <c:v>677.93325443222398</c:v>
                </c:pt>
                <c:pt idx="51">
                  <c:v>680.86866761625618</c:v>
                </c:pt>
                <c:pt idx="52">
                  <c:v>683.38301243788783</c:v>
                </c:pt>
                <c:pt idx="53">
                  <c:v>685.90037359771213</c:v>
                </c:pt>
                <c:pt idx="54">
                  <c:v>687.99666639513589</c:v>
                </c:pt>
                <c:pt idx="55">
                  <c:v>606.44621305195199</c:v>
                </c:pt>
                <c:pt idx="56">
                  <c:v>608.10454288079995</c:v>
                </c:pt>
                <c:pt idx="57">
                  <c:v>609.58028958321597</c:v>
                </c:pt>
                <c:pt idx="58">
                  <c:v>610.68483735638392</c:v>
                </c:pt>
                <c:pt idx="59">
                  <c:v>611.78938512955187</c:v>
                </c:pt>
                <c:pt idx="60">
                  <c:v>316.91974971283202</c:v>
                </c:pt>
                <c:pt idx="61">
                  <c:v>317.58713334129601</c:v>
                </c:pt>
                <c:pt idx="62">
                  <c:v>318.25451696975989</c:v>
                </c:pt>
                <c:pt idx="63">
                  <c:v>318.826990985328</c:v>
                </c:pt>
                <c:pt idx="64">
                  <c:v>319.2066294369119</c:v>
                </c:pt>
                <c:pt idx="65">
                  <c:v>319.58928422668794</c:v>
                </c:pt>
              </c:numCache>
            </c:numRef>
          </c:val>
          <c:smooth val="0"/>
          <c:extLst>
            <c:ext xmlns:c16="http://schemas.microsoft.com/office/drawing/2014/chart" uri="{C3380CC4-5D6E-409C-BE32-E72D297353CC}">
              <c16:uniqueId val="{00000002-7ED8-4B1A-940D-567B80632772}"/>
            </c:ext>
          </c:extLst>
        </c:ser>
        <c:ser>
          <c:idx val="3"/>
          <c:order val="3"/>
          <c:tx>
            <c:v>Flug WAM</c:v>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3-7ED8-4B1A-940D-567B80632772}"/>
            </c:ext>
          </c:extLst>
        </c:ser>
        <c:ser>
          <c:idx val="4"/>
          <c:order val="4"/>
          <c:tx>
            <c:v>Skip WEM</c:v>
          </c:tx>
          <c:spPr>
            <a:ln>
              <a:solidFill>
                <a:schemeClr val="bg1">
                  <a:lumMod val="75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Data'!$I$254:$BV$254</c:f>
              <c:numCache>
                <c:formatCode>0</c:formatCode>
                <c:ptCount val="66"/>
                <c:pt idx="35">
                  <c:v>286.85559879032058</c:v>
                </c:pt>
                <c:pt idx="36">
                  <c:v>282.04107371642567</c:v>
                </c:pt>
                <c:pt idx="37">
                  <c:v>284.89949303252655</c:v>
                </c:pt>
                <c:pt idx="38">
                  <c:v>287.7516916319438</c:v>
                </c:pt>
                <c:pt idx="39">
                  <c:v>290.59455915633578</c:v>
                </c:pt>
                <c:pt idx="40">
                  <c:v>293.42498524736061</c:v>
                </c:pt>
                <c:pt idx="41">
                  <c:v>291.16977008270106</c:v>
                </c:pt>
                <c:pt idx="42">
                  <c:v>292.74933719343062</c:v>
                </c:pt>
                <c:pt idx="43">
                  <c:v>293.76425053340165</c:v>
                </c:pt>
                <c:pt idx="44">
                  <c:v>294.46375866120803</c:v>
                </c:pt>
                <c:pt idx="45">
                  <c:v>294.46565013416335</c:v>
                </c:pt>
                <c:pt idx="46">
                  <c:v>293.68644151215415</c:v>
                </c:pt>
                <c:pt idx="47">
                  <c:v>292.63390372949544</c:v>
                </c:pt>
                <c:pt idx="48">
                  <c:v>290.57452662457263</c:v>
                </c:pt>
                <c:pt idx="49">
                  <c:v>287.66785459918253</c:v>
                </c:pt>
                <c:pt idx="50">
                  <c:v>283.76241530690953</c:v>
                </c:pt>
                <c:pt idx="51">
                  <c:v>278.68500206487698</c:v>
                </c:pt>
                <c:pt idx="52">
                  <c:v>272.25937417573073</c:v>
                </c:pt>
                <c:pt idx="53">
                  <c:v>264.33405929305496</c:v>
                </c:pt>
                <c:pt idx="54">
                  <c:v>254.51131326842031</c:v>
                </c:pt>
                <c:pt idx="55">
                  <c:v>243.21930631429157</c:v>
                </c:pt>
                <c:pt idx="56">
                  <c:v>230.19802570604998</c:v>
                </c:pt>
                <c:pt idx="57">
                  <c:v>215.33838323964321</c:v>
                </c:pt>
                <c:pt idx="58">
                  <c:v>199.3028945252855</c:v>
                </c:pt>
                <c:pt idx="59">
                  <c:v>182.18624229125552</c:v>
                </c:pt>
                <c:pt idx="60">
                  <c:v>164.24440125746412</c:v>
                </c:pt>
                <c:pt idx="61">
                  <c:v>146.30036876145198</c:v>
                </c:pt>
                <c:pt idx="62">
                  <c:v>128.53655032072868</c:v>
                </c:pt>
                <c:pt idx="63">
                  <c:v>111.55261657760424</c:v>
                </c:pt>
                <c:pt idx="64">
                  <c:v>95.808814301150548</c:v>
                </c:pt>
                <c:pt idx="65">
                  <c:v>81.358926619438208</c:v>
                </c:pt>
              </c:numCache>
            </c:numRef>
          </c:val>
          <c:smooth val="0"/>
          <c:extLst>
            <c:ext xmlns:c16="http://schemas.microsoft.com/office/drawing/2014/chart" uri="{C3380CC4-5D6E-409C-BE32-E72D297353CC}">
              <c16:uniqueId val="{00000004-7ED8-4B1A-940D-567B8063277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2"/>
        <c:delete val="1"/>
      </c:legendEntry>
      <c:legendEntry>
        <c:idx val="3"/>
        <c:delete val="1"/>
      </c:legendEntry>
      <c:legendEntry>
        <c:idx val="4"/>
        <c:delete val="1"/>
      </c:legendEntry>
      <c:layout>
        <c:manualLayout>
          <c:xMode val="edge"/>
          <c:yMode val="edge"/>
          <c:x val="0.73501354448341849"/>
          <c:y val="0.416184199586559"/>
          <c:w val="0.16918519540209312"/>
          <c:h val="0.19061016717493581"/>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12053140096614"/>
          <c:h val="0.8754916198981505"/>
        </c:manualLayout>
      </c:layout>
      <c:lineChart>
        <c:grouping val="standard"/>
        <c:varyColors val="0"/>
        <c:ser>
          <c:idx val="1"/>
          <c:order val="0"/>
          <c:tx>
            <c:strRef>
              <c:f>'Talnagögn | Numerical Data'!$G$248</c:f>
              <c:strCache>
                <c:ptCount val="1"/>
                <c:pt idx="0">
                  <c:v>International Aviation</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Data'!$I$248:$AW$248</c:f>
              <c:numCache>
                <c:formatCode>0</c:formatCode>
                <c:ptCount val="41"/>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1618-47A0-8AB3-6AD667628262}"/>
            </c:ext>
          </c:extLst>
        </c:ser>
        <c:ser>
          <c:idx val="2"/>
          <c:order val="1"/>
          <c:tx>
            <c:strRef>
              <c:f>'Talnagögn | Numerical Data'!$G$249</c:f>
              <c:strCache>
                <c:ptCount val="1"/>
                <c:pt idx="0">
                  <c:v>International Navigation</c:v>
                </c:pt>
              </c:strCache>
            </c:strRef>
          </c:tx>
          <c:spPr>
            <a:ln>
              <a:solidFill>
                <a:schemeClr val="bg1">
                  <a:lumMod val="75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Data'!$I$249:$AW$249</c:f>
              <c:numCache>
                <c:formatCode>0</c:formatCode>
                <c:ptCount val="41"/>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1618-47A0-8AB3-6AD667628262}"/>
            </c:ext>
          </c:extLst>
        </c:ser>
        <c:ser>
          <c:idx val="0"/>
          <c:order val="2"/>
          <c:tx>
            <c:v>Flug WEM</c:v>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Data'!$I$253:$BV$253</c:f>
              <c:numCache>
                <c:formatCode>0</c:formatCode>
                <c:ptCount val="66"/>
                <c:pt idx="35">
                  <c:v>1009.6475620140002</c:v>
                </c:pt>
                <c:pt idx="36">
                  <c:v>926.77185468000005</c:v>
                </c:pt>
                <c:pt idx="37">
                  <c:v>936.30327588</c:v>
                </c:pt>
                <c:pt idx="38">
                  <c:v>927.22790530339216</c:v>
                </c:pt>
                <c:pt idx="39">
                  <c:v>936.56929719729624</c:v>
                </c:pt>
                <c:pt idx="40">
                  <c:v>907.30171584864001</c:v>
                </c:pt>
                <c:pt idx="41">
                  <c:v>918.35201505297596</c:v>
                </c:pt>
                <c:pt idx="42">
                  <c:v>927.90788856292795</c:v>
                </c:pt>
                <c:pt idx="43">
                  <c:v>935.9737558456319</c:v>
                </c:pt>
                <c:pt idx="44">
                  <c:v>942.24385668974401</c:v>
                </c:pt>
                <c:pt idx="45">
                  <c:v>805.72253311367979</c:v>
                </c:pt>
                <c:pt idx="46">
                  <c:v>809.53508603217597</c:v>
                </c:pt>
                <c:pt idx="47">
                  <c:v>812.84050509681606</c:v>
                </c:pt>
                <c:pt idx="48">
                  <c:v>816.14290782326418</c:v>
                </c:pt>
                <c:pt idx="49">
                  <c:v>819.19475996097617</c:v>
                </c:pt>
                <c:pt idx="50">
                  <c:v>677.93325443222398</c:v>
                </c:pt>
                <c:pt idx="51">
                  <c:v>680.86866761625618</c:v>
                </c:pt>
                <c:pt idx="52">
                  <c:v>683.38301243788783</c:v>
                </c:pt>
                <c:pt idx="53">
                  <c:v>685.90037359771213</c:v>
                </c:pt>
                <c:pt idx="54">
                  <c:v>687.99666639513589</c:v>
                </c:pt>
                <c:pt idx="55">
                  <c:v>606.44621305195199</c:v>
                </c:pt>
                <c:pt idx="56">
                  <c:v>608.10454288079995</c:v>
                </c:pt>
                <c:pt idx="57">
                  <c:v>609.58028958321597</c:v>
                </c:pt>
                <c:pt idx="58">
                  <c:v>610.68483735638392</c:v>
                </c:pt>
                <c:pt idx="59">
                  <c:v>611.78938512955187</c:v>
                </c:pt>
                <c:pt idx="60">
                  <c:v>316.91974971283202</c:v>
                </c:pt>
                <c:pt idx="61">
                  <c:v>317.58713334129601</c:v>
                </c:pt>
                <c:pt idx="62">
                  <c:v>318.25451696975989</c:v>
                </c:pt>
                <c:pt idx="63">
                  <c:v>318.826990985328</c:v>
                </c:pt>
                <c:pt idx="64">
                  <c:v>319.2066294369119</c:v>
                </c:pt>
                <c:pt idx="65">
                  <c:v>319.58928422668794</c:v>
                </c:pt>
              </c:numCache>
            </c:numRef>
          </c:val>
          <c:smooth val="0"/>
          <c:extLst>
            <c:ext xmlns:c16="http://schemas.microsoft.com/office/drawing/2014/chart" uri="{C3380CC4-5D6E-409C-BE32-E72D297353CC}">
              <c16:uniqueId val="{00000002-1618-47A0-8AB3-6AD667628262}"/>
            </c:ext>
          </c:extLst>
        </c:ser>
        <c:ser>
          <c:idx val="3"/>
          <c:order val="3"/>
          <c:tx>
            <c:v>Flug WAM</c:v>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3-1618-47A0-8AB3-6AD667628262}"/>
            </c:ext>
          </c:extLst>
        </c:ser>
        <c:ser>
          <c:idx val="4"/>
          <c:order val="4"/>
          <c:tx>
            <c:v>Skip WEM</c:v>
          </c:tx>
          <c:spPr>
            <a:ln>
              <a:solidFill>
                <a:schemeClr val="bg1">
                  <a:lumMod val="75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Data'!$I$254:$BV$254</c:f>
              <c:numCache>
                <c:formatCode>0</c:formatCode>
                <c:ptCount val="66"/>
                <c:pt idx="35">
                  <c:v>286.85559879032058</c:v>
                </c:pt>
                <c:pt idx="36">
                  <c:v>282.04107371642567</c:v>
                </c:pt>
                <c:pt idx="37">
                  <c:v>284.89949303252655</c:v>
                </c:pt>
                <c:pt idx="38">
                  <c:v>287.7516916319438</c:v>
                </c:pt>
                <c:pt idx="39">
                  <c:v>290.59455915633578</c:v>
                </c:pt>
                <c:pt idx="40">
                  <c:v>293.42498524736061</c:v>
                </c:pt>
                <c:pt idx="41">
                  <c:v>291.16977008270106</c:v>
                </c:pt>
                <c:pt idx="42">
                  <c:v>292.74933719343062</c:v>
                </c:pt>
                <c:pt idx="43">
                  <c:v>293.76425053340165</c:v>
                </c:pt>
                <c:pt idx="44">
                  <c:v>294.46375866120803</c:v>
                </c:pt>
                <c:pt idx="45">
                  <c:v>294.46565013416335</c:v>
                </c:pt>
                <c:pt idx="46">
                  <c:v>293.68644151215415</c:v>
                </c:pt>
                <c:pt idx="47">
                  <c:v>292.63390372949544</c:v>
                </c:pt>
                <c:pt idx="48">
                  <c:v>290.57452662457263</c:v>
                </c:pt>
                <c:pt idx="49">
                  <c:v>287.66785459918253</c:v>
                </c:pt>
                <c:pt idx="50">
                  <c:v>283.76241530690953</c:v>
                </c:pt>
                <c:pt idx="51">
                  <c:v>278.68500206487698</c:v>
                </c:pt>
                <c:pt idx="52">
                  <c:v>272.25937417573073</c:v>
                </c:pt>
                <c:pt idx="53">
                  <c:v>264.33405929305496</c:v>
                </c:pt>
                <c:pt idx="54">
                  <c:v>254.51131326842031</c:v>
                </c:pt>
                <c:pt idx="55">
                  <c:v>243.21930631429157</c:v>
                </c:pt>
                <c:pt idx="56">
                  <c:v>230.19802570604998</c:v>
                </c:pt>
                <c:pt idx="57">
                  <c:v>215.33838323964321</c:v>
                </c:pt>
                <c:pt idx="58">
                  <c:v>199.3028945252855</c:v>
                </c:pt>
                <c:pt idx="59">
                  <c:v>182.18624229125552</c:v>
                </c:pt>
                <c:pt idx="60">
                  <c:v>164.24440125746412</c:v>
                </c:pt>
                <c:pt idx="61">
                  <c:v>146.30036876145198</c:v>
                </c:pt>
                <c:pt idx="62">
                  <c:v>128.53655032072868</c:v>
                </c:pt>
                <c:pt idx="63">
                  <c:v>111.55261657760424</c:v>
                </c:pt>
                <c:pt idx="64">
                  <c:v>95.808814301150548</c:v>
                </c:pt>
                <c:pt idx="65">
                  <c:v>81.358926619438208</c:v>
                </c:pt>
              </c:numCache>
            </c:numRef>
          </c:val>
          <c:smooth val="0"/>
          <c:extLst>
            <c:ext xmlns:c16="http://schemas.microsoft.com/office/drawing/2014/chart" uri="{C3380CC4-5D6E-409C-BE32-E72D297353CC}">
              <c16:uniqueId val="{00000004-1618-47A0-8AB3-6AD66762826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2"/>
        <c:delete val="1"/>
      </c:legendEntry>
      <c:legendEntry>
        <c:idx val="3"/>
        <c:delete val="1"/>
      </c:legendEntry>
      <c:legendEntry>
        <c:idx val="4"/>
        <c:delete val="1"/>
      </c:legendEntry>
      <c:layout>
        <c:manualLayout>
          <c:xMode val="edge"/>
          <c:yMode val="edge"/>
          <c:x val="0.73501354448341849"/>
          <c:y val="0.416184199586559"/>
          <c:w val="0.22593635265700482"/>
          <c:h val="0.1906101671749358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15286005898953E-2"/>
          <c:y val="3.4452246276592595E-2"/>
          <c:w val="0.63125759372422641"/>
          <c:h val="0.84650123456790127"/>
        </c:manualLayout>
      </c:layout>
      <c:areaChart>
        <c:grouping val="stacked"/>
        <c:varyColors val="0"/>
        <c:ser>
          <c:idx val="8"/>
          <c:order val="0"/>
          <c:tx>
            <c:v>Agriculture Total</c:v>
          </c:tx>
          <c:spPr>
            <a:solidFill>
              <a:srgbClr val="855092">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Data'!$I$149:$AX$149</c15:sqref>
                  </c15:fullRef>
                </c:ext>
              </c:extLst>
              <c:f>'Talnagögn | Numerical Data'!$I$149:$AR$149</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0-6D53-4B73-916E-030B68B9D475}"/>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Data'!$G$122</c:f>
              <c:strCache>
                <c:ptCount val="1"/>
                <c:pt idx="0">
                  <c:v>Inorganic Fertilizer Use and Liming</c:v>
                </c:pt>
              </c:strCache>
            </c:strRef>
          </c:tx>
          <c:spPr>
            <a:ln w="19050" cap="rnd">
              <a:solidFill>
                <a:srgbClr val="FF573C">
                  <a:lumMod val="60000"/>
                  <a:lumOff val="40000"/>
                </a:srgbClr>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1-6D53-4B73-916E-030B68B9D475}"/>
            </c:ext>
          </c:extLst>
        </c:ser>
        <c:ser>
          <c:idx val="1"/>
          <c:order val="2"/>
          <c:tx>
            <c:strRef>
              <c:f>'Talnagögn | Numerical Data'!$G$133</c:f>
              <c:strCache>
                <c:ptCount val="1"/>
                <c:pt idx="0">
                  <c:v>Cattle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2-6D53-4B73-916E-030B68B9D475}"/>
            </c:ext>
          </c:extLst>
        </c:ser>
        <c:ser>
          <c:idx val="2"/>
          <c:order val="3"/>
          <c:tx>
            <c:strRef>
              <c:f>'Talnagögn | Numerical Data'!$G$138</c:f>
              <c:strCache>
                <c:ptCount val="1"/>
                <c:pt idx="0">
                  <c:v>Sheep</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3-6D53-4B73-916E-030B68B9D475}"/>
            </c:ext>
          </c:extLst>
        </c:ser>
        <c:ser>
          <c:idx val="3"/>
          <c:order val="4"/>
          <c:tx>
            <c:strRef>
              <c:f>'Talnagögn | Numerical Data'!$G$121</c:f>
              <c:strCache>
                <c:ptCount val="1"/>
                <c:pt idx="0">
                  <c:v>Cultivation of Organic Soils (N₂O)</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4-6D53-4B73-916E-030B68B9D475}"/>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max val="8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3333718669526704"/>
          <c:y val="0.33658594468231867"/>
          <c:w val="0.26666281330473302"/>
          <c:h val="0.304293824030731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18719806763295E-2"/>
          <c:y val="3.2337962962962964E-2"/>
          <c:w val="0.6081744893746267"/>
          <c:h val="0.88088796296296301"/>
        </c:manualLayout>
      </c:layout>
      <c:lineChart>
        <c:grouping val="standard"/>
        <c:varyColors val="0"/>
        <c:ser>
          <c:idx val="14"/>
          <c:order val="0"/>
          <c:tx>
            <c:strRef>
              <c:f>'Talnagögn | Numerical Data'!$G$121</c:f>
              <c:strCache>
                <c:ptCount val="1"/>
                <c:pt idx="0">
                  <c:v>Cultivation of Organic Soils (N₂O)</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B623-4BA2-A583-C8F2EBAD4606}"/>
            </c:ext>
          </c:extLst>
        </c:ser>
        <c:ser>
          <c:idx val="2"/>
          <c:order val="1"/>
          <c:tx>
            <c:strRef>
              <c:f>'Talnagögn | Numerical Data'!$G$133</c:f>
              <c:strCache>
                <c:ptCount val="1"/>
                <c:pt idx="0">
                  <c:v>Cattle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B623-4BA2-A583-C8F2EBAD4606}"/>
            </c:ext>
          </c:extLst>
        </c:ser>
        <c:ser>
          <c:idx val="6"/>
          <c:order val="2"/>
          <c:tx>
            <c:strRef>
              <c:f>'Talnagögn | Numerical Data'!$G$138</c:f>
              <c:strCache>
                <c:ptCount val="1"/>
                <c:pt idx="0">
                  <c:v>Sheep</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2-B623-4BA2-A583-C8F2EBAD4606}"/>
            </c:ext>
          </c:extLst>
        </c:ser>
        <c:ser>
          <c:idx val="0"/>
          <c:order val="3"/>
          <c:tx>
            <c:strRef>
              <c:f>'Talnagögn | Numerical Data'!$G$122</c:f>
              <c:strCache>
                <c:ptCount val="1"/>
                <c:pt idx="0">
                  <c:v>Inorganic Fertilizer Use and Liming</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3-B623-4BA2-A583-C8F2EBAD4606}"/>
            </c:ext>
          </c:extLst>
        </c:ser>
        <c:ser>
          <c:idx val="3"/>
          <c:order val="4"/>
          <c:tx>
            <c:strRef>
              <c:f>'Talnagögn | Numerical Data'!$G$128</c:f>
              <c:strCache>
                <c:ptCount val="1"/>
                <c:pt idx="0">
                  <c:v>Organic Fertilizer Use</c:v>
                </c:pt>
              </c:strCache>
            </c:strRef>
          </c:tx>
          <c:spPr>
            <a:ln w="19050" cap="rnd">
              <a:solidFill>
                <a:srgbClr val="F7E609"/>
              </a:solidFill>
              <a:round/>
            </a:ln>
            <a:effectLst/>
          </c:spPr>
          <c:marker>
            <c:symbol val="none"/>
          </c:marke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4-B623-4BA2-A583-C8F2EBAD4606}"/>
            </c:ext>
          </c:extLst>
        </c:ser>
        <c:ser>
          <c:idx val="10"/>
          <c:order val="5"/>
          <c:tx>
            <c:strRef>
              <c:f>'Talnagögn | Numerical Data'!$G$143</c:f>
              <c:strCache>
                <c:ptCount val="1"/>
                <c:pt idx="0">
                  <c:v>Horses</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5-B623-4BA2-A583-C8F2EBAD4606}"/>
            </c:ext>
          </c:extLst>
        </c:ser>
        <c:ser>
          <c:idx val="1"/>
          <c:order val="6"/>
          <c:tx>
            <c:strRef>
              <c:f>'Talnagögn | Numerical Data'!$G$148</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6-B623-4BA2-A583-C8F2EBAD4606}"/>
            </c:ext>
          </c:extLst>
        </c:ser>
        <c:dLbls>
          <c:showLegendKey val="0"/>
          <c:showVal val="0"/>
          <c:showCatName val="0"/>
          <c:showSerName val="0"/>
          <c:showPercent val="0"/>
          <c:showBubbleSize val="0"/>
        </c:dLbls>
        <c:smooth val="0"/>
        <c:axId val="1082038936"/>
        <c:axId val="1142935720"/>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1903838427444522"/>
          <c:y val="0.30278472222222225"/>
          <c:w val="0.2721565844243618"/>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00489448654694E-2"/>
          <c:y val="3.2025917839422005E-2"/>
          <c:w val="0.70583601631462389"/>
          <c:h val="0.88203733437992593"/>
        </c:manualLayout>
      </c:layout>
      <c:barChart>
        <c:barDir val="col"/>
        <c:grouping val="stacked"/>
        <c:varyColors val="0"/>
        <c:ser>
          <c:idx val="0"/>
          <c:order val="0"/>
          <c:tx>
            <c:strRef>
              <c:f>'Talnagögn | Numerical Data'!$G$6</c:f>
              <c:strCache>
                <c:ptCount val="1"/>
                <c:pt idx="0">
                  <c:v>Energy</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3A35-4744-B2DC-FB9472EB70FE}"/>
            </c:ext>
          </c:extLst>
        </c:ser>
        <c:ser>
          <c:idx val="1"/>
          <c:order val="1"/>
          <c:tx>
            <c:v>IPPU</c:v>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3A35-4744-B2DC-FB9472EB70FE}"/>
            </c:ext>
          </c:extLst>
        </c:ser>
        <c:ser>
          <c:idx val="2"/>
          <c:order val="2"/>
          <c:tx>
            <c:strRef>
              <c:f>'Talnagögn | Numerical Data'!$G$8</c:f>
              <c:strCache>
                <c:ptCount val="1"/>
                <c:pt idx="0">
                  <c:v>Agriculture</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3A35-4744-B2DC-FB9472EB70FE}"/>
            </c:ext>
          </c:extLst>
        </c:ser>
        <c:ser>
          <c:idx val="4"/>
          <c:order val="3"/>
          <c:tx>
            <c:strRef>
              <c:f>'Talnagögn | Numerical Data'!$G$10</c:f>
              <c:strCache>
                <c:ptCount val="1"/>
                <c:pt idx="0">
                  <c:v>Waste</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3A35-4744-B2DC-FB9472EB70FE}"/>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Greenhouse Gas Emissions (kt CO</a:t>
                </a:r>
                <a:r>
                  <a:rPr lang="en-US">
                    <a:latin typeface="Aptos Narrow" panose="020B0004020202020204" pitchFamily="34" charset="0"/>
                  </a:rPr>
                  <a:t>₂</a:t>
                </a:r>
                <a:r>
                  <a:rPr lang="en-US"/>
                  <a:t>e)</a:t>
                </a:r>
              </a:p>
            </c:rich>
          </c:tx>
          <c:layout>
            <c:manualLayout>
              <c:xMode val="edge"/>
              <c:yMode val="edge"/>
              <c:x val="1.098429232151613E-3"/>
              <c:y val="0.231852973298133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722153128"/>
        <c:crosses val="autoZero"/>
        <c:crossBetween val="between"/>
      </c:valAx>
      <c:spPr>
        <a:noFill/>
        <a:ln>
          <a:noFill/>
        </a:ln>
        <a:effectLst/>
      </c:spPr>
    </c:plotArea>
    <c:legend>
      <c:legendPos val="r"/>
      <c:layout>
        <c:manualLayout>
          <c:xMode val="edge"/>
          <c:yMode val="edge"/>
          <c:x val="0.82679681320677145"/>
          <c:y val="0.31390809730743874"/>
          <c:w val="0.1120797702014074"/>
          <c:h val="0.375095252461433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71076085858585858"/>
          <c:h val="0.86576709855719858"/>
        </c:manualLayout>
      </c:layout>
      <c:lineChart>
        <c:grouping val="standard"/>
        <c:varyColors val="0"/>
        <c:ser>
          <c:idx val="3"/>
          <c:order val="0"/>
          <c:tx>
            <c:v>LULUCF</c:v>
          </c:tx>
          <c:spPr>
            <a:ln w="19050" cap="rnd">
              <a:solidFill>
                <a:srgbClr val="68A20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0603-4596-86B2-083686967255}"/>
            </c:ext>
          </c:extLst>
        </c:ser>
        <c:ser>
          <c:idx val="0"/>
          <c:order val="1"/>
          <c:tx>
            <c:strRef>
              <c:f>'Talnagögn | Numerical Data'!$G$6</c:f>
              <c:strCache>
                <c:ptCount val="1"/>
                <c:pt idx="0">
                  <c:v>Energy</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0603-4596-86B2-083686967255}"/>
            </c:ext>
          </c:extLst>
        </c:ser>
        <c:ser>
          <c:idx val="1"/>
          <c:order val="2"/>
          <c:tx>
            <c:v>IPPU</c:v>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0603-4596-86B2-083686967255}"/>
            </c:ext>
          </c:extLst>
        </c:ser>
        <c:ser>
          <c:idx val="2"/>
          <c:order val="3"/>
          <c:tx>
            <c:strRef>
              <c:f>'Talnagögn | Numerical Data'!$G$8</c:f>
              <c:strCache>
                <c:ptCount val="1"/>
                <c:pt idx="0">
                  <c:v>Agriculture</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0603-4596-86B2-083686967255}"/>
            </c:ext>
          </c:extLst>
        </c:ser>
        <c:ser>
          <c:idx val="4"/>
          <c:order val="4"/>
          <c:tx>
            <c:strRef>
              <c:f>'Talnagögn | Numerical Data'!$G$10</c:f>
              <c:strCache>
                <c:ptCount val="1"/>
                <c:pt idx="0">
                  <c:v>Waste</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0603-4596-86B2-083686967255}"/>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71076085858585858"/>
          <c:h val="0.86576709855719858"/>
        </c:manualLayout>
      </c:layout>
      <c:lineChart>
        <c:grouping val="standard"/>
        <c:varyColors val="0"/>
        <c:ser>
          <c:idx val="0"/>
          <c:order val="0"/>
          <c:tx>
            <c:strRef>
              <c:f>'Talnagögn | Numerical Data'!$G$6</c:f>
              <c:strCache>
                <c:ptCount val="1"/>
                <c:pt idx="0">
                  <c:v>Energy</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4750-4161-A69A-FAE380B16C48}"/>
            </c:ext>
          </c:extLst>
        </c:ser>
        <c:ser>
          <c:idx val="1"/>
          <c:order val="1"/>
          <c:tx>
            <c:v>IPPU</c:v>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4750-4161-A69A-FAE380B16C48}"/>
            </c:ext>
          </c:extLst>
        </c:ser>
        <c:ser>
          <c:idx val="2"/>
          <c:order val="2"/>
          <c:tx>
            <c:strRef>
              <c:f>'Talnagögn | Numerical Data'!$G$8</c:f>
              <c:strCache>
                <c:ptCount val="1"/>
                <c:pt idx="0">
                  <c:v>Agriculture</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4750-4161-A69A-FAE380B16C48}"/>
            </c:ext>
          </c:extLst>
        </c:ser>
        <c:ser>
          <c:idx val="4"/>
          <c:order val="3"/>
          <c:tx>
            <c:strRef>
              <c:f>'Talnagögn | Numerical Data'!$G$10</c:f>
              <c:strCache>
                <c:ptCount val="1"/>
                <c:pt idx="0">
                  <c:v>Waste</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4750-4161-A69A-FAE380B16C48}"/>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v>LULUCF</c:v>
          </c:tx>
          <c:spPr>
            <a:solidFill>
              <a:srgbClr val="68A200"/>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FC8-48DE-A34B-4BA686B3D0F6}"/>
            </c:ext>
          </c:extLst>
        </c:ser>
        <c:ser>
          <c:idx val="1"/>
          <c:order val="1"/>
          <c:tx>
            <c:strRef>
              <c:f>'Talnagögn | Numerical Data'!$G$6</c:f>
              <c:strCache>
                <c:ptCount val="1"/>
                <c:pt idx="0">
                  <c:v>Energy</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BFC8-48DE-A34B-4BA686B3D0F6}"/>
            </c:ext>
          </c:extLst>
        </c:ser>
        <c:ser>
          <c:idx val="2"/>
          <c:order val="2"/>
          <c:tx>
            <c:v>IPPU</c:v>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BFC8-48DE-A34B-4BA686B3D0F6}"/>
            </c:ext>
          </c:extLst>
        </c:ser>
        <c:ser>
          <c:idx val="3"/>
          <c:order val="3"/>
          <c:tx>
            <c:strRef>
              <c:f>'Talnagögn | Numerical Data'!$G$8</c:f>
              <c:strCache>
                <c:ptCount val="1"/>
                <c:pt idx="0">
                  <c:v>Agriculture</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BFC8-48DE-A34B-4BA686B3D0F6}"/>
            </c:ext>
          </c:extLst>
        </c:ser>
        <c:ser>
          <c:idx val="4"/>
          <c:order val="4"/>
          <c:tx>
            <c:strRef>
              <c:f>'Talnagögn | Numerical Data'!$G$10</c:f>
              <c:strCache>
                <c:ptCount val="1"/>
                <c:pt idx="0">
                  <c:v>Waste</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BFC8-48DE-A34B-4BA686B3D0F6}"/>
            </c:ext>
          </c:extLst>
        </c:ser>
        <c:ser>
          <c:idx val="6"/>
          <c:order val="5"/>
          <c:tx>
            <c:strRef>
              <c:f>'Talnagögn | Numerical Data'!$G$18</c:f>
              <c:strCache>
                <c:ptCount val="1"/>
                <c:pt idx="0">
                  <c:v>Land use, Land-Use Change and Forestry (LULUCF)</c:v>
                </c:pt>
              </c:strCache>
            </c:strRef>
          </c:tx>
          <c:spPr>
            <a:solidFill>
              <a:srgbClr val="68A200">
                <a:alpha val="30196"/>
              </a:srgbClr>
            </a:solidFill>
          </c:spPr>
          <c:invertIfNegative val="0"/>
          <c:dPt>
            <c:idx val="35"/>
            <c:invertIfNegative val="0"/>
            <c:bubble3D val="0"/>
            <c:spPr>
              <a:noFill/>
            </c:spPr>
            <c:extLst>
              <c:ext xmlns:c16="http://schemas.microsoft.com/office/drawing/2014/chart" uri="{C3380CC4-5D6E-409C-BE32-E72D297353CC}">
                <c16:uniqueId val="{00000006-BFC8-48DE-A34B-4BA686B3D0F6}"/>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extLst>
            <c:ext xmlns:c16="http://schemas.microsoft.com/office/drawing/2014/chart" uri="{C3380CC4-5D6E-409C-BE32-E72D297353CC}">
              <c16:uniqueId val="{00000007-BFC8-48DE-A34B-4BA686B3D0F6}"/>
            </c:ext>
          </c:extLst>
        </c:ser>
        <c:ser>
          <c:idx val="7"/>
          <c:order val="6"/>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BFC8-48DE-A34B-4BA686B3D0F6}"/>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BFC8-48DE-A34B-4BA686B3D0F6}"/>
            </c:ext>
          </c:extLst>
        </c:ser>
        <c:ser>
          <c:idx val="8"/>
          <c:order val="7"/>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BFC8-48DE-A34B-4BA686B3D0F6}"/>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BFC8-48DE-A34B-4BA686B3D0F6}"/>
            </c:ext>
          </c:extLst>
        </c:ser>
        <c:ser>
          <c:idx val="9"/>
          <c:order val="8"/>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BFC8-48DE-A34B-4BA686B3D0F6}"/>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BFC8-48DE-A34B-4BA686B3D0F6}"/>
            </c:ext>
          </c:extLst>
        </c:ser>
        <c:ser>
          <c:idx val="5"/>
          <c:order val="9"/>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BFC8-48DE-A34B-4BA686B3D0F6}"/>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BFC8-48DE-A34B-4BA686B3D0F6}"/>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8312008297132829"/>
          <c:y val="0.35638151752497127"/>
          <c:w val="0.12255655216316216"/>
          <c:h val="0.2872369649500574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1"/>
          <c:order val="0"/>
          <c:tx>
            <c:strRef>
              <c:f>'Talnagögn | Numerical Data'!$G$6</c:f>
              <c:strCache>
                <c:ptCount val="1"/>
                <c:pt idx="0">
                  <c:v>Energy</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436C-4778-BD37-8CC2A8E1E21A}"/>
            </c:ext>
          </c:extLst>
        </c:ser>
        <c:ser>
          <c:idx val="2"/>
          <c:order val="1"/>
          <c:tx>
            <c:v>IPPU</c:v>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436C-4778-BD37-8CC2A8E1E21A}"/>
            </c:ext>
          </c:extLst>
        </c:ser>
        <c:ser>
          <c:idx val="3"/>
          <c:order val="2"/>
          <c:tx>
            <c:strRef>
              <c:f>'Talnagögn | Numerical Data'!$G$8</c:f>
              <c:strCache>
                <c:ptCount val="1"/>
                <c:pt idx="0">
                  <c:v>Agriculture</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436C-4778-BD37-8CC2A8E1E21A}"/>
            </c:ext>
          </c:extLst>
        </c:ser>
        <c:ser>
          <c:idx val="4"/>
          <c:order val="3"/>
          <c:tx>
            <c:strRef>
              <c:f>'Talnagögn | Numerical Data'!$G$10</c:f>
              <c:strCache>
                <c:ptCount val="1"/>
                <c:pt idx="0">
                  <c:v>Waste</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436C-4778-BD37-8CC2A8E1E21A}"/>
            </c:ext>
          </c:extLst>
        </c:ser>
        <c:ser>
          <c:idx val="7"/>
          <c:order val="4"/>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436C-4778-BD37-8CC2A8E1E21A}"/>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436C-4778-BD37-8CC2A8E1E21A}"/>
            </c:ext>
          </c:extLst>
        </c:ser>
        <c:ser>
          <c:idx val="8"/>
          <c:order val="5"/>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436C-4778-BD37-8CC2A8E1E21A}"/>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436C-4778-BD37-8CC2A8E1E21A}"/>
            </c:ext>
          </c:extLst>
        </c:ser>
        <c:ser>
          <c:idx val="9"/>
          <c:order val="6"/>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436C-4778-BD37-8CC2A8E1E21A}"/>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436C-4778-BD37-8CC2A8E1E21A}"/>
            </c:ext>
          </c:extLst>
        </c:ser>
        <c:ser>
          <c:idx val="5"/>
          <c:order val="7"/>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436C-4778-BD37-8CC2A8E1E21A}"/>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436C-4778-BD37-8CC2A8E1E21A}"/>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8312008297132829"/>
          <c:y val="0.35638151752497127"/>
          <c:w val="0.12255655216316216"/>
          <c:h val="0.2872369649500574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v>LULUCF</c:v>
          </c:tx>
          <c:spPr>
            <a:ln>
              <a:solidFill>
                <a:srgbClr val="68A200"/>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DD87-46A1-914B-D3CDC8336B9E}"/>
            </c:ext>
          </c:extLst>
        </c:ser>
        <c:ser>
          <c:idx val="1"/>
          <c:order val="1"/>
          <c:tx>
            <c:strRef>
              <c:f>'Talnagögn | Numerical Data'!$G$6</c:f>
              <c:strCache>
                <c:ptCount val="1"/>
                <c:pt idx="0">
                  <c:v>Energy</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DD87-46A1-914B-D3CDC8336B9E}"/>
            </c:ext>
          </c:extLst>
        </c:ser>
        <c:ser>
          <c:idx val="2"/>
          <c:order val="2"/>
          <c:tx>
            <c:v>IPPU</c:v>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DD87-46A1-914B-D3CDC8336B9E}"/>
            </c:ext>
          </c:extLst>
        </c:ser>
        <c:ser>
          <c:idx val="3"/>
          <c:order val="3"/>
          <c:tx>
            <c:strRef>
              <c:f>'Talnagögn | Numerical Data'!$G$8</c:f>
              <c:strCache>
                <c:ptCount val="1"/>
                <c:pt idx="0">
                  <c:v>Agriculture</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DD87-46A1-914B-D3CDC8336B9E}"/>
            </c:ext>
          </c:extLst>
        </c:ser>
        <c:ser>
          <c:idx val="4"/>
          <c:order val="4"/>
          <c:tx>
            <c:strRef>
              <c:f>'Talnagögn | Numerical Data'!$G$10</c:f>
              <c:strCache>
                <c:ptCount val="1"/>
                <c:pt idx="0">
                  <c:v>Waste</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DD87-46A1-914B-D3CDC8336B9E}"/>
            </c:ext>
          </c:extLst>
        </c:ser>
        <c:ser>
          <c:idx val="6"/>
          <c:order val="5"/>
          <c:tx>
            <c:strRef>
              <c:f>'Talnagögn | Numerical Data'!$G$18</c:f>
              <c:strCache>
                <c:ptCount val="1"/>
                <c:pt idx="0">
                  <c:v>Land use, Land-Use Change and Forestry (LULUCF)</c:v>
                </c:pt>
              </c:strCache>
            </c:strRef>
          </c:tx>
          <c:spPr>
            <a:ln>
              <a:solidFill>
                <a:srgbClr val="68A200"/>
              </a:solidFill>
              <a:prstDash val="dash"/>
            </a:ln>
          </c:spPr>
          <c:marker>
            <c:symbol val="none"/>
          </c:marker>
          <c:dPt>
            <c:idx val="35"/>
            <c:bubble3D val="0"/>
            <c:extLst>
              <c:ext xmlns:c16="http://schemas.microsoft.com/office/drawing/2014/chart" uri="{C3380CC4-5D6E-409C-BE32-E72D297353CC}">
                <c16:uniqueId val="{00000005-DD87-46A1-914B-D3CDC8336B9E}"/>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smooth val="0"/>
          <c:extLst>
            <c:ext xmlns:c16="http://schemas.microsoft.com/office/drawing/2014/chart" uri="{C3380CC4-5D6E-409C-BE32-E72D297353CC}">
              <c16:uniqueId val="{00000006-DD87-46A1-914B-D3CDC8336B9E}"/>
            </c:ext>
          </c:extLst>
        </c:ser>
        <c:ser>
          <c:idx val="7"/>
          <c:order val="6"/>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DD87-46A1-914B-D3CDC8336B9E}"/>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DD87-46A1-914B-D3CDC8336B9E}"/>
            </c:ext>
          </c:extLst>
        </c:ser>
        <c:ser>
          <c:idx val="8"/>
          <c:order val="7"/>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DD87-46A1-914B-D3CDC8336B9E}"/>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DD87-46A1-914B-D3CDC8336B9E}"/>
            </c:ext>
          </c:extLst>
        </c:ser>
        <c:ser>
          <c:idx val="9"/>
          <c:order val="8"/>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DD87-46A1-914B-D3CDC8336B9E}"/>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DD87-46A1-914B-D3CDC8336B9E}"/>
            </c:ext>
          </c:extLst>
        </c:ser>
        <c:ser>
          <c:idx val="5"/>
          <c:order val="9"/>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DD87-46A1-914B-D3CDC8336B9E}"/>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DD87-46A1-914B-D3CDC8336B9E}"/>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8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7725277777777768"/>
          <c:y val="0.36795124258130613"/>
          <c:w val="0.1587845675736064"/>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1"/>
          <c:order val="0"/>
          <c:tx>
            <c:strRef>
              <c:f>'Talnagögn | Numerical Data'!$G$6</c:f>
              <c:strCache>
                <c:ptCount val="1"/>
                <c:pt idx="0">
                  <c:v>Energy</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FB12-4721-A488-47A085AE59CD}"/>
            </c:ext>
          </c:extLst>
        </c:ser>
        <c:ser>
          <c:idx val="2"/>
          <c:order val="1"/>
          <c:tx>
            <c:v>IPPU</c:v>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FB12-4721-A488-47A085AE59CD}"/>
            </c:ext>
          </c:extLst>
        </c:ser>
        <c:ser>
          <c:idx val="3"/>
          <c:order val="2"/>
          <c:tx>
            <c:strRef>
              <c:f>'Talnagögn | Numerical Data'!$G$8</c:f>
              <c:strCache>
                <c:ptCount val="1"/>
                <c:pt idx="0">
                  <c:v>Agriculture</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FB12-4721-A488-47A085AE59CD}"/>
            </c:ext>
          </c:extLst>
        </c:ser>
        <c:ser>
          <c:idx val="4"/>
          <c:order val="3"/>
          <c:tx>
            <c:strRef>
              <c:f>'Talnagögn | Numerical Data'!$G$10</c:f>
              <c:strCache>
                <c:ptCount val="1"/>
                <c:pt idx="0">
                  <c:v>Waste</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FB12-4721-A488-47A085AE59CD}"/>
            </c:ext>
          </c:extLst>
        </c:ser>
        <c:ser>
          <c:idx val="7"/>
          <c:order val="4"/>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FB12-4721-A488-47A085AE59CD}"/>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FB12-4721-A488-47A085AE59CD}"/>
            </c:ext>
          </c:extLst>
        </c:ser>
        <c:ser>
          <c:idx val="8"/>
          <c:order val="5"/>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FB12-4721-A488-47A085AE59CD}"/>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FB12-4721-A488-47A085AE59CD}"/>
            </c:ext>
          </c:extLst>
        </c:ser>
        <c:ser>
          <c:idx val="9"/>
          <c:order val="6"/>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FB12-4721-A488-47A085AE59CD}"/>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FB12-4721-A488-47A085AE59CD}"/>
            </c:ext>
          </c:extLst>
        </c:ser>
        <c:ser>
          <c:idx val="5"/>
          <c:order val="7"/>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FB12-4721-A488-47A085AE59CD}"/>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FB12-4721-A488-47A085AE59CD}"/>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7725277777777768"/>
          <c:y val="0.36795124258130613"/>
          <c:w val="0.1587845675736064"/>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78501462322702698"/>
          <c:y val="0"/>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098092491959632E-2"/>
          <c:y val="3.1535045661482006E-2"/>
          <c:w val="0.63176625036293721"/>
          <c:h val="0.88384538843411009"/>
        </c:manualLayout>
      </c:layout>
      <c:lineChart>
        <c:grouping val="standard"/>
        <c:varyColors val="0"/>
        <c:ser>
          <c:idx val="3"/>
          <c:order val="0"/>
          <c:tx>
            <c:strRef>
              <c:f>'Talnagögn | Numerical Data'!$E$31</c:f>
              <c:strCache>
                <c:ptCount val="1"/>
                <c:pt idx="0">
                  <c:v>Álframleiðsla</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Data'!$I$31:$AX$31</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DDF8-412D-87B5-6A9658716AA3}"/>
            </c:ext>
          </c:extLst>
        </c:ser>
        <c:ser>
          <c:idx val="1"/>
          <c:order val="1"/>
          <c:tx>
            <c:strRef>
              <c:f>'Talnagögn | Numerical Data'!$E$29</c:f>
              <c:strCache>
                <c:ptCount val="1"/>
                <c:pt idx="0">
                  <c:v>Vegasamgöngur</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Data'!$I$29:$AX$29</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DDF8-412D-87B5-6A9658716AA3}"/>
            </c:ext>
          </c:extLst>
        </c:ser>
        <c:ser>
          <c:idx val="5"/>
          <c:order val="2"/>
          <c:tx>
            <c:strRef>
              <c:f>'Talnagögn | Numerical Data'!$E$33</c:f>
              <c:strCache>
                <c:ptCount val="1"/>
                <c:pt idx="0">
                  <c:v>Landbúnaður</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Data'!$I$33:$AX$33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DDF8-412D-87B5-6A9658716AA3}"/>
            </c:ext>
          </c:extLst>
        </c:ser>
        <c:ser>
          <c:idx val="0"/>
          <c:order val="3"/>
          <c:tx>
            <c:strRef>
              <c:f>'Talnagögn | Numerical Data'!$E$28</c:f>
              <c:strCache>
                <c:ptCount val="1"/>
                <c:pt idx="0">
                  <c:v>Fiskiskip</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Data'!$I$28:$AX$28</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DDF8-412D-87B5-6A9658716AA3}"/>
            </c:ext>
          </c:extLst>
        </c:ser>
        <c:ser>
          <c:idx val="7"/>
          <c:order val="4"/>
          <c:tx>
            <c:strRef>
              <c:f>'Talnagögn | Numerical Data'!$E$35</c:f>
              <c:strCache>
                <c:ptCount val="1"/>
                <c:pt idx="0">
                  <c:v>Önnur losun</c:v>
                </c:pt>
              </c:strCache>
            </c:strRef>
          </c:tx>
          <c:spPr>
            <a:ln w="19050" cap="rnd">
              <a:solidFill>
                <a:schemeClr val="accent5">
                  <a:lumMod val="20000"/>
                  <a:lumOff val="8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Data'!$I$37:$AX$37</c:f>
              <c:numCache>
                <c:formatCode>0</c:formatCode>
                <c:ptCount val="42"/>
                <c:pt idx="0">
                  <c:v>1081.6072131862525</c:v>
                </c:pt>
                <c:pt idx="1">
                  <c:v>964.82562603849942</c:v>
                </c:pt>
                <c:pt idx="2">
                  <c:v>1032.0985909312053</c:v>
                </c:pt>
                <c:pt idx="3">
                  <c:v>1140.1708613625788</c:v>
                </c:pt>
                <c:pt idx="4">
                  <c:v>1097.5460359544873</c:v>
                </c:pt>
                <c:pt idx="5">
                  <c:v>1174.4934194169173</c:v>
                </c:pt>
                <c:pt idx="6">
                  <c:v>1245.9307422803806</c:v>
                </c:pt>
                <c:pt idx="7">
                  <c:v>1303.9932350903321</c:v>
                </c:pt>
                <c:pt idx="8">
                  <c:v>1257.0240916017306</c:v>
                </c:pt>
                <c:pt idx="9">
                  <c:v>1389.1862702759508</c:v>
                </c:pt>
                <c:pt idx="10">
                  <c:v>1477.8355339966097</c:v>
                </c:pt>
                <c:pt idx="11">
                  <c:v>1533.7346143213349</c:v>
                </c:pt>
                <c:pt idx="12">
                  <c:v>1518.6372763681493</c:v>
                </c:pt>
                <c:pt idx="13">
                  <c:v>1457.9092626493425</c:v>
                </c:pt>
                <c:pt idx="14">
                  <c:v>1542.6747991434436</c:v>
                </c:pt>
                <c:pt idx="15">
                  <c:v>1461.149948683028</c:v>
                </c:pt>
                <c:pt idx="16">
                  <c:v>1524.29572045851</c:v>
                </c:pt>
                <c:pt idx="17">
                  <c:v>1568.2556683892062</c:v>
                </c:pt>
                <c:pt idx="18">
                  <c:v>1483.2287818501034</c:v>
                </c:pt>
                <c:pt idx="19">
                  <c:v>1297.0452254402517</c:v>
                </c:pt>
                <c:pt idx="20">
                  <c:v>1297.4190606052152</c:v>
                </c:pt>
                <c:pt idx="21">
                  <c:v>1285.4515086054512</c:v>
                </c:pt>
                <c:pt idx="22">
                  <c:v>1248.8538464079024</c:v>
                </c:pt>
                <c:pt idx="23">
                  <c:v>1258.3122131203804</c:v>
                </c:pt>
                <c:pt idx="24">
                  <c:v>1234.0034597004537</c:v>
                </c:pt>
                <c:pt idx="25">
                  <c:v>1251.7911001352691</c:v>
                </c:pt>
                <c:pt idx="26">
                  <c:v>1276.6905379988723</c:v>
                </c:pt>
                <c:pt idx="27">
                  <c:v>1261.7776649785706</c:v>
                </c:pt>
                <c:pt idx="28">
                  <c:v>1306.822630485648</c:v>
                </c:pt>
                <c:pt idx="29">
                  <c:v>1263.6100553336755</c:v>
                </c:pt>
                <c:pt idx="30">
                  <c:v>1216.0763839863312</c:v>
                </c:pt>
                <c:pt idx="31">
                  <c:v>1244.7793028407423</c:v>
                </c:pt>
                <c:pt idx="32">
                  <c:v>1325.7987067705635</c:v>
                </c:pt>
                <c:pt idx="33">
                  <c:v>1166.2329756333927</c:v>
                </c:pt>
                <c:pt idx="34">
                  <c:v>1327.3981793336775</c:v>
                </c:pt>
                <c:pt idx="35">
                  <c:v>1131.4269207556169</c:v>
                </c:pt>
              </c:numCache>
            </c:numRef>
          </c:val>
          <c:smooth val="0"/>
          <c:extLst>
            <c:ext xmlns:c16="http://schemas.microsoft.com/office/drawing/2014/chart" uri="{C3380CC4-5D6E-409C-BE32-E72D297353CC}">
              <c16:uniqueId val="{00000004-DDF8-412D-87B5-6A9658716AA3}"/>
            </c:ext>
          </c:extLst>
        </c:ser>
        <c:ser>
          <c:idx val="2"/>
          <c:order val="5"/>
          <c:tx>
            <c:v>Ál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Data'!$I$42:$BV$42</c:f>
              <c:numCache>
                <c:formatCode>0</c:formatCode>
                <c:ptCount val="66"/>
                <c:pt idx="35">
                  <c:v>1290.3163042728158</c:v>
                </c:pt>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5-DDF8-412D-87B5-6A9658716AA3}"/>
            </c:ext>
          </c:extLst>
        </c:ser>
        <c:ser>
          <c:idx val="4"/>
          <c:order val="6"/>
          <c:tx>
            <c:v>Vega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Data'!$I$40:$BV$40</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6-DDF8-412D-87B5-6A9658716AA3}"/>
            </c:ext>
          </c:extLst>
        </c:ser>
        <c:ser>
          <c:idx val="6"/>
          <c:order val="7"/>
          <c:tx>
            <c:v>Land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Data'!$I$44:$BV$44</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7-DDF8-412D-87B5-6A9658716AA3}"/>
            </c:ext>
          </c:extLst>
        </c:ser>
        <c:ser>
          <c:idx val="8"/>
          <c:order val="8"/>
          <c:tx>
            <c:v>Fiski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Data'!$I$39:$BV$39</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8-DDF8-412D-87B5-6A9658716AA3}"/>
            </c:ext>
          </c:extLst>
        </c:ser>
        <c:ser>
          <c:idx val="9"/>
          <c:order val="9"/>
          <c:tx>
            <c:v>Annað WEM</c:v>
          </c:tx>
          <c:spPr>
            <a:ln w="19050" cap="rnd">
              <a:solidFill>
                <a:schemeClr val="accent5">
                  <a:lumMod val="20000"/>
                  <a:lumOff val="8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Data'!$I$48:$BV$48</c:f>
              <c:numCache>
                <c:formatCode>General</c:formatCode>
                <c:ptCount val="66"/>
                <c:pt idx="33">
                  <c:v>1166.2329756333927</c:v>
                </c:pt>
                <c:pt idx="35">
                  <c:v>1131.4269207556169</c:v>
                </c:pt>
                <c:pt idx="36" formatCode="0">
                  <c:v>1086.5518689175826</c:v>
                </c:pt>
                <c:pt idx="37" formatCode="0">
                  <c:v>1192.8599120099964</c:v>
                </c:pt>
                <c:pt idx="38" formatCode="0">
                  <c:v>1141.3508895179584</c:v>
                </c:pt>
                <c:pt idx="39" formatCode="0">
                  <c:v>1107.3479524728805</c:v>
                </c:pt>
                <c:pt idx="40" formatCode="0">
                  <c:v>1082.6470959056483</c:v>
                </c:pt>
                <c:pt idx="41" formatCode="0">
                  <c:v>1048.1709282629788</c:v>
                </c:pt>
                <c:pt idx="42" formatCode="0">
                  <c:v>1036.4269330058212</c:v>
                </c:pt>
                <c:pt idx="43" formatCode="0">
                  <c:v>1040.3679825448883</c:v>
                </c:pt>
                <c:pt idx="44" formatCode="0">
                  <c:v>1020.8666494029902</c:v>
                </c:pt>
                <c:pt idx="45" formatCode="0">
                  <c:v>1000.0243974763484</c:v>
                </c:pt>
                <c:pt idx="46" formatCode="0">
                  <c:v>992.80584557883299</c:v>
                </c:pt>
                <c:pt idx="47" formatCode="0">
                  <c:v>985.51990639074972</c:v>
                </c:pt>
                <c:pt idx="48" formatCode="0">
                  <c:v>978.6485132165717</c:v>
                </c:pt>
                <c:pt idx="49" formatCode="0">
                  <c:v>970.9478799423639</c:v>
                </c:pt>
                <c:pt idx="50" formatCode="0">
                  <c:v>961.4813940744632</c:v>
                </c:pt>
                <c:pt idx="51" formatCode="0">
                  <c:v>953.66290907763755</c:v>
                </c:pt>
                <c:pt idx="52" formatCode="0">
                  <c:v>945.64636580860531</c:v>
                </c:pt>
                <c:pt idx="53" formatCode="0">
                  <c:v>937.78917010680175</c:v>
                </c:pt>
                <c:pt idx="54" formatCode="0">
                  <c:v>930.05583667066833</c:v>
                </c:pt>
                <c:pt idx="55" formatCode="0">
                  <c:v>922.07675205152054</c:v>
                </c:pt>
                <c:pt idx="56" formatCode="0">
                  <c:v>914.47364565335079</c:v>
                </c:pt>
                <c:pt idx="57" formatCode="0">
                  <c:v>906.97321929469524</c:v>
                </c:pt>
                <c:pt idx="58" formatCode="0">
                  <c:v>898.90233043081992</c:v>
                </c:pt>
                <c:pt idx="59" formatCode="0">
                  <c:v>890.8906477165101</c:v>
                </c:pt>
                <c:pt idx="60" formatCode="0">
                  <c:v>882.6001842296206</c:v>
                </c:pt>
                <c:pt idx="61" formatCode="0">
                  <c:v>869.84007453452</c:v>
                </c:pt>
                <c:pt idx="62" formatCode="0">
                  <c:v>862.62919778865046</c:v>
                </c:pt>
                <c:pt idx="63" formatCode="0">
                  <c:v>855.76131979152728</c:v>
                </c:pt>
                <c:pt idx="64" formatCode="0">
                  <c:v>849.31334761130279</c:v>
                </c:pt>
                <c:pt idx="65" formatCode="0">
                  <c:v>843.27635209057416</c:v>
                </c:pt>
              </c:numCache>
            </c:numRef>
          </c:val>
          <c:smooth val="0"/>
          <c:extLst>
            <c:ext xmlns:c16="http://schemas.microsoft.com/office/drawing/2014/chart" uri="{C3380CC4-5D6E-409C-BE32-E72D297353CC}">
              <c16:uniqueId val="{00000009-DDF8-412D-87B5-6A9658716AA3}"/>
            </c:ext>
          </c:extLst>
        </c:ser>
        <c:dLbls>
          <c:showLegendKey val="0"/>
          <c:showVal val="0"/>
          <c:showCatName val="0"/>
          <c:showSerName val="0"/>
          <c:showPercent val="0"/>
          <c:showBubbleSize val="0"/>
        </c:dLbls>
        <c:smooth val="0"/>
        <c:axId val="2076083800"/>
        <c:axId val="2076083080"/>
      </c:lineChart>
      <c:catAx>
        <c:axId val="2076083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080"/>
        <c:crosses val="autoZero"/>
        <c:auto val="1"/>
        <c:lblAlgn val="ctr"/>
        <c:lblOffset val="100"/>
        <c:noMultiLvlLbl val="0"/>
      </c:catAx>
      <c:valAx>
        <c:axId val="207608308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0"/>
              <c:y val="0.2208927359131025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597791763990662"/>
          <c:y val="0.31555742938023251"/>
          <c:w val="0.16522089617544364"/>
          <c:h val="0.377711164340086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baseline="0">
                <a:solidFill>
                  <a:sysClr val="windowText" lastClr="000000"/>
                </a:solidFill>
              </a:rPr>
              <a:t>GHG Emissions in Iceland</a:t>
            </a:r>
          </a:p>
          <a:p>
            <a:pPr>
              <a:defRPr/>
            </a:pPr>
            <a:r>
              <a:rPr lang="is-IS" sz="1200" b="0" i="0" u="none" strike="noStrike" kern="1200" baseline="0">
                <a:solidFill>
                  <a:sysClr val="windowText" lastClr="000000"/>
                </a:solidFill>
              </a:rPr>
              <a:t>Excl. LULUCF</a:t>
            </a:r>
          </a:p>
        </c:rich>
      </c:tx>
      <c:layout>
        <c:manualLayout>
          <c:xMode val="edge"/>
          <c:yMode val="edge"/>
          <c:x val="0.78947502572816697"/>
          <c:y val="0"/>
        </c:manualLayout>
      </c:layout>
      <c:overlay val="0"/>
    </c:title>
    <c:autoTitleDeleted val="0"/>
    <c:plotArea>
      <c:layout>
        <c:manualLayout>
          <c:layoutTarget val="inner"/>
          <c:xMode val="edge"/>
          <c:yMode val="edge"/>
          <c:x val="9.1073461947954321E-2"/>
          <c:y val="3.3803026834812323E-2"/>
          <c:w val="0.64870458937198072"/>
          <c:h val="0.8754916198981505"/>
        </c:manualLayout>
      </c:layout>
      <c:lineChart>
        <c:grouping val="standard"/>
        <c:varyColors val="0"/>
        <c:ser>
          <c:idx val="1"/>
          <c:order val="0"/>
          <c:tx>
            <c:strRef>
              <c:f>'Talnagögn | Numerical Data'!$G$5</c:f>
              <c:strCache>
                <c:ptCount val="1"/>
                <c:pt idx="0">
                  <c:v>Historical Emissions</c:v>
                </c:pt>
              </c:strCache>
            </c:strRef>
          </c:tx>
          <c:spPr>
            <a:ln>
              <a:solidFill>
                <a:schemeClr val="tx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Data'!$I$12:$AX$12</c:f>
              <c:numCache>
                <c:formatCode>0</c:formatCode>
                <c:ptCount val="42"/>
                <c:pt idx="0">
                  <c:v>3679.0633039689005</c:v>
                </c:pt>
                <c:pt idx="1">
                  <c:v>3476.4113137838945</c:v>
                </c:pt>
                <c:pt idx="2">
                  <c:v>3404.5459225499694</c:v>
                </c:pt>
                <c:pt idx="3">
                  <c:v>3491.6833020231297</c:v>
                </c:pt>
                <c:pt idx="4">
                  <c:v>3426.2037132172986</c:v>
                </c:pt>
                <c:pt idx="5">
                  <c:v>3558.1613482022221</c:v>
                </c:pt>
                <c:pt idx="6">
                  <c:v>3615.625763169603</c:v>
                </c:pt>
                <c:pt idx="7">
                  <c:v>3785.3631682173327</c:v>
                </c:pt>
                <c:pt idx="8">
                  <c:v>3928.8582349452645</c:v>
                </c:pt>
                <c:pt idx="9">
                  <c:v>4145.3391814564393</c:v>
                </c:pt>
                <c:pt idx="10">
                  <c:v>4176.3190920584075</c:v>
                </c:pt>
                <c:pt idx="11">
                  <c:v>4074.2176968458066</c:v>
                </c:pt>
                <c:pt idx="12">
                  <c:v>4149.3939155300068</c:v>
                </c:pt>
                <c:pt idx="13">
                  <c:v>4123.6704535060735</c:v>
                </c:pt>
                <c:pt idx="14">
                  <c:v>4247.7613359204488</c:v>
                </c:pt>
                <c:pt idx="15">
                  <c:v>4107.4866563888572</c:v>
                </c:pt>
                <c:pt idx="16">
                  <c:v>4665.6243128277019</c:v>
                </c:pt>
                <c:pt idx="17">
                  <c:v>4972.9360975745585</c:v>
                </c:pt>
                <c:pt idx="18">
                  <c:v>5354.6362340230389</c:v>
                </c:pt>
                <c:pt idx="19">
                  <c:v>5048.9407687876519</c:v>
                </c:pt>
                <c:pt idx="20">
                  <c:v>4952.1890340898362</c:v>
                </c:pt>
                <c:pt idx="21">
                  <c:v>4739.063839287569</c:v>
                </c:pt>
                <c:pt idx="22">
                  <c:v>4733.2420141737985</c:v>
                </c:pt>
                <c:pt idx="23">
                  <c:v>4736.6977125293706</c:v>
                </c:pt>
                <c:pt idx="24">
                  <c:v>4757.9444002491682</c:v>
                </c:pt>
                <c:pt idx="25">
                  <c:v>4828.1436479065469</c:v>
                </c:pt>
                <c:pt idx="26">
                  <c:v>4785.8299562500315</c:v>
                </c:pt>
                <c:pt idx="27">
                  <c:v>4868.498739557006</c:v>
                </c:pt>
                <c:pt idx="28">
                  <c:v>4931.3533472269328</c:v>
                </c:pt>
                <c:pt idx="29">
                  <c:v>4790.7443884568402</c:v>
                </c:pt>
                <c:pt idx="30">
                  <c:v>4585.3105774217856</c:v>
                </c:pt>
                <c:pt idx="31">
                  <c:v>4724.1914040969996</c:v>
                </c:pt>
                <c:pt idx="32">
                  <c:v>4783.8602436113288</c:v>
                </c:pt>
                <c:pt idx="33">
                  <c:v>4650.2417142004797</c:v>
                </c:pt>
                <c:pt idx="34">
                  <c:v>4782.0944845918812</c:v>
                </c:pt>
                <c:pt idx="35">
                  <c:v>4489.4149268075043</c:v>
                </c:pt>
              </c:numCache>
            </c:numRef>
          </c:val>
          <c:smooth val="0"/>
          <c:extLst>
            <c:ext xmlns:c16="http://schemas.microsoft.com/office/drawing/2014/chart" uri="{C3380CC4-5D6E-409C-BE32-E72D297353CC}">
              <c16:uniqueId val="{00000000-D704-4C25-9FAB-16ADC7080D2F}"/>
            </c:ext>
          </c:extLst>
        </c:ser>
        <c:ser>
          <c:idx val="5"/>
          <c:order val="1"/>
          <c:tx>
            <c:strRef>
              <c:f>'Talnagögn | Numerical Data'!$G$14</c:f>
              <c:strCache>
                <c:ptCount val="1"/>
                <c:pt idx="0">
                  <c:v>Emission Projections: Government Policy-Based Scenario</c:v>
                </c:pt>
              </c:strCache>
            </c:strRef>
          </c:tx>
          <c:spPr>
            <a:ln>
              <a:solidFill>
                <a:schemeClr val="tx1"/>
              </a:solidFill>
              <a:prstDash val="dash"/>
            </a:ln>
          </c:spPr>
          <c:marker>
            <c:symbol val="none"/>
          </c:marker>
          <c:dPt>
            <c:idx val="33"/>
            <c:bubble3D val="0"/>
            <c:extLst>
              <c:ext xmlns:c16="http://schemas.microsoft.com/office/drawing/2014/chart" uri="{C3380CC4-5D6E-409C-BE32-E72D297353CC}">
                <c16:uniqueId val="{00000001-D704-4C25-9FAB-16ADC7080D2F}"/>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Data'!$I$21:$BV$21</c:f>
              <c:numCache>
                <c:formatCode>0</c:formatCode>
                <c:ptCount val="66"/>
                <c:pt idx="35">
                  <c:v>4489.4149268075043</c:v>
                </c:pt>
                <c:pt idx="36">
                  <c:v>4369.956287718328</c:v>
                </c:pt>
                <c:pt idx="37">
                  <c:v>4599.4125427379458</c:v>
                </c:pt>
                <c:pt idx="38">
                  <c:v>4528.4938417181684</c:v>
                </c:pt>
                <c:pt idx="39">
                  <c:v>4458.4780508302329</c:v>
                </c:pt>
                <c:pt idx="40">
                  <c:v>4394.7614497730301</c:v>
                </c:pt>
                <c:pt idx="41">
                  <c:v>4322.6309871221492</c:v>
                </c:pt>
                <c:pt idx="42">
                  <c:v>4273.5513049895526</c:v>
                </c:pt>
                <c:pt idx="43">
                  <c:v>4235.0747443815308</c:v>
                </c:pt>
                <c:pt idx="44">
                  <c:v>4172.3280829502064</c:v>
                </c:pt>
                <c:pt idx="45">
                  <c:v>4104.7902319101031</c:v>
                </c:pt>
                <c:pt idx="46">
                  <c:v>4053.7924586175809</c:v>
                </c:pt>
                <c:pt idx="47">
                  <c:v>3995.4384248641209</c:v>
                </c:pt>
                <c:pt idx="48">
                  <c:v>3937.5067373252382</c:v>
                </c:pt>
                <c:pt idx="49">
                  <c:v>3878.4710187304131</c:v>
                </c:pt>
                <c:pt idx="50">
                  <c:v>3818.9719477407552</c:v>
                </c:pt>
                <c:pt idx="51">
                  <c:v>3761.4271311062244</c:v>
                </c:pt>
                <c:pt idx="52">
                  <c:v>3704.431045663729</c:v>
                </c:pt>
                <c:pt idx="53">
                  <c:v>3648.6611132819348</c:v>
                </c:pt>
                <c:pt idx="54">
                  <c:v>3594.6208566082892</c:v>
                </c:pt>
                <c:pt idx="55">
                  <c:v>3539.3959741655735</c:v>
                </c:pt>
                <c:pt idx="56">
                  <c:v>3486.0928498741514</c:v>
                </c:pt>
                <c:pt idx="57">
                  <c:v>3431.6791642181547</c:v>
                </c:pt>
                <c:pt idx="58">
                  <c:v>3376.9542081982904</c:v>
                </c:pt>
                <c:pt idx="59">
                  <c:v>3319.2937478295644</c:v>
                </c:pt>
                <c:pt idx="60">
                  <c:v>3261.7629314711889</c:v>
                </c:pt>
                <c:pt idx="61">
                  <c:v>3200.2240701709188</c:v>
                </c:pt>
                <c:pt idx="62">
                  <c:v>3158.0974679844894</c:v>
                </c:pt>
                <c:pt idx="63">
                  <c:v>3119.1372243979595</c:v>
                </c:pt>
                <c:pt idx="64">
                  <c:v>3086.8990429913706</c:v>
                </c:pt>
                <c:pt idx="65">
                  <c:v>3060.9494015478231</c:v>
                </c:pt>
              </c:numCache>
            </c:numRef>
          </c:val>
          <c:smooth val="0"/>
          <c:extLst>
            <c:ext xmlns:c16="http://schemas.microsoft.com/office/drawing/2014/chart" uri="{C3380CC4-5D6E-409C-BE32-E72D297353CC}">
              <c16:uniqueId val="{00000002-D704-4C25-9FAB-16ADC7080D2F}"/>
            </c:ext>
          </c:extLst>
        </c:ser>
        <c:dLbls>
          <c:showLegendKey val="0"/>
          <c:showVal val="0"/>
          <c:showCatName val="0"/>
          <c:showSerName val="0"/>
          <c:showPercent val="0"/>
          <c:showBubbleSize val="0"/>
        </c:dLbls>
        <c:smooth val="0"/>
        <c:axId val="722153128"/>
        <c:axId val="1044714616"/>
        <c:extLst/>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3.344262338419363E-3"/>
              <c:y val="0.14331007706756779"/>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5225462687845335"/>
          <c:y val="0.39164893740238738"/>
          <c:w val="0.21706658880490315"/>
          <c:h val="0.2166255591576273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82E-2"/>
          <c:y val="3.4452314814814811E-2"/>
          <c:w val="0.6445022946859903"/>
          <c:h val="0.84650123456790127"/>
        </c:manualLayout>
      </c:layout>
      <c:areaChart>
        <c:grouping val="stacked"/>
        <c:varyColors val="0"/>
        <c:ser>
          <c:idx val="8"/>
          <c:order val="0"/>
          <c:tx>
            <c:v>Heildarlosun orku</c:v>
          </c:tx>
          <c:spPr>
            <a:solidFill>
              <a:srgbClr val="23A5D9">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Data'!$I$67:$AX$67</c15:sqref>
                  </c15:fullRef>
                </c:ext>
              </c:extLst>
              <c:f>'Talnagögn | Numerical Data'!$I$67:$AR$67</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0F1C-4327-8CA5-0EF0A5B5611F}"/>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Data'!$E$55</c:f>
              <c:strCache>
                <c:ptCount val="1"/>
                <c:pt idx="0">
                  <c:v>Vegasamgöngur</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0F1C-4327-8CA5-0EF0A5B5611F}"/>
            </c:ext>
          </c:extLst>
        </c:ser>
        <c:ser>
          <c:idx val="1"/>
          <c:order val="2"/>
          <c:tx>
            <c:strRef>
              <c:f>'Talnagögn | Numerical Data'!$E$54</c:f>
              <c:strCache>
                <c:ptCount val="1"/>
                <c:pt idx="0">
                  <c:v>Fiskiskip</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2-0F1C-4327-8CA5-0EF0A5B5611F}"/>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en-US"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5235543478260869"/>
          <c:y val="0.38938587962962962"/>
          <c:w val="0.17023476562500001"/>
          <c:h val="0.2271926542717006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9.1134259259259262E-2"/>
          <c:w val="0.64016014492753626"/>
          <c:h val="0.82209166666666678"/>
        </c:manualLayout>
      </c:layout>
      <c:lineChart>
        <c:grouping val="standard"/>
        <c:varyColors val="0"/>
        <c:ser>
          <c:idx val="1"/>
          <c:order val="0"/>
          <c:tx>
            <c:strRef>
              <c:f>'Talnagögn | Numerical Data'!$E$55</c:f>
              <c:strCache>
                <c:ptCount val="1"/>
                <c:pt idx="0">
                  <c:v>Vegasamgöngur</c:v>
                </c:pt>
              </c:strCache>
            </c:strRef>
          </c:tx>
          <c:spPr>
            <a:ln w="19050" cap="rnd">
              <a:solidFill>
                <a:schemeClr val="accent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90A-485B-B34F-DEBDB798D0F4}"/>
            </c:ext>
          </c:extLst>
        </c:ser>
        <c:ser>
          <c:idx val="0"/>
          <c:order val="1"/>
          <c:tx>
            <c:strRef>
              <c:f>'Talnagögn | Numerical Data'!$E$54</c:f>
              <c:strCache>
                <c:ptCount val="1"/>
                <c:pt idx="0">
                  <c:v>Fiskiskip</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90A-485B-B34F-DEBDB798D0F4}"/>
            </c:ext>
          </c:extLst>
        </c:ser>
        <c:ser>
          <c:idx val="6"/>
          <c:order val="2"/>
          <c:tx>
            <c:strRef>
              <c:f>'Talnagögn | Numerical Data'!$E$65</c:f>
              <c:strCache>
                <c:ptCount val="1"/>
                <c:pt idx="0">
                  <c:v>Jarðvarmavirkjanir</c:v>
                </c:pt>
              </c:strCache>
            </c:strRef>
          </c:tx>
          <c:spPr>
            <a:ln w="19050" cap="rnd">
              <a:solidFill>
                <a:schemeClr val="accent4"/>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90A-485B-B34F-DEBDB798D0F4}"/>
            </c:ext>
          </c:extLst>
        </c:ser>
        <c:ser>
          <c:idx val="4"/>
          <c:order val="3"/>
          <c:tx>
            <c:strRef>
              <c:f>'Talnagögn | Numerical Data'!$E$58</c:f>
              <c:strCache>
                <c:ptCount val="1"/>
                <c:pt idx="0">
                  <c:v>Vélar og tæki</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smooth val="0"/>
          <c:extLst>
            <c:ext xmlns:c16="http://schemas.microsoft.com/office/drawing/2014/chart" uri="{C3380CC4-5D6E-409C-BE32-E72D297353CC}">
              <c16:uniqueId val="{00000003-190A-485B-B34F-DEBDB798D0F4}"/>
            </c:ext>
          </c:extLst>
        </c:ser>
        <c:ser>
          <c:idx val="5"/>
          <c:order val="4"/>
          <c:tx>
            <c:v>Eldsneytisbruni í staðb. iðnaði</c:v>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smooth val="0"/>
          <c:extLst>
            <c:ext xmlns:c16="http://schemas.microsoft.com/office/drawing/2014/chart" uri="{C3380CC4-5D6E-409C-BE32-E72D297353CC}">
              <c16:uniqueId val="{00000004-190A-485B-B34F-DEBDB798D0F4}"/>
            </c:ext>
          </c:extLst>
        </c:ser>
        <c:ser>
          <c:idx val="2"/>
          <c:order val="5"/>
          <c:tx>
            <c:strRef>
              <c:f>'Talnagögn | Numerical Data'!$E$56</c:f>
              <c:strCache>
                <c:ptCount val="1"/>
                <c:pt idx="0">
                  <c:v>Innanlandsflug</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smooth val="0"/>
          <c:extLst>
            <c:ext xmlns:c16="http://schemas.microsoft.com/office/drawing/2014/chart" uri="{C3380CC4-5D6E-409C-BE32-E72D297353CC}">
              <c16:uniqueId val="{00000005-190A-485B-B34F-DEBDB798D0F4}"/>
            </c:ext>
          </c:extLst>
        </c:ser>
        <c:ser>
          <c:idx val="3"/>
          <c:order val="6"/>
          <c:tx>
            <c:strRef>
              <c:f>'Talnagögn | Numerical Data'!$E$57</c:f>
              <c:strCache>
                <c:ptCount val="1"/>
                <c:pt idx="0">
                  <c:v>Strandsiglingar</c:v>
                </c:pt>
              </c:strCache>
            </c:strRef>
          </c:tx>
          <c:spPr>
            <a:ln w="19050" cap="rnd">
              <a:solidFill>
                <a:schemeClr val="accent3">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smooth val="0"/>
          <c:extLst>
            <c:ext xmlns:c16="http://schemas.microsoft.com/office/drawing/2014/chart" uri="{C3380CC4-5D6E-409C-BE32-E72D297353CC}">
              <c16:uniqueId val="{00000006-190A-485B-B34F-DEBDB798D0F4}"/>
            </c:ext>
          </c:extLst>
        </c:ser>
        <c:ser>
          <c:idx val="7"/>
          <c:order val="7"/>
          <c:tx>
            <c:strRef>
              <c:f>'Talnagögn | Numerical Data'!$E$66</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smooth val="0"/>
          <c:extLst>
            <c:ext xmlns:c16="http://schemas.microsoft.com/office/drawing/2014/chart" uri="{C3380CC4-5D6E-409C-BE32-E72D297353CC}">
              <c16:uniqueId val="{00000007-190A-485B-B34F-DEBDB798D0F4}"/>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1"/>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4896557971014499"/>
          <c:y val="0.26285185185185184"/>
          <c:w val="0.24932741545893716"/>
          <c:h val="0.4713564814814815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533979486021129"/>
          <c:y val="3.4452246276592595E-2"/>
          <c:w val="0.67211093749999984"/>
          <c:h val="0.84650123456790127"/>
        </c:manualLayout>
      </c:layout>
      <c:areaChart>
        <c:grouping val="stacked"/>
        <c:varyColors val="0"/>
        <c:ser>
          <c:idx val="8"/>
          <c:order val="0"/>
          <c:tx>
            <c:v>Energy Total</c:v>
          </c:tx>
          <c:spPr>
            <a:solidFill>
              <a:srgbClr val="23A5D9">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Data'!$I$67:$AX$67</c15:sqref>
                  </c15:fullRef>
                </c:ext>
              </c:extLst>
              <c:f>'Talnagögn | Numerical Data'!$I$67:$AR$67</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257D-4107-A8FC-00E50F6E07F0}"/>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Data'!$G$55</c:f>
              <c:strCache>
                <c:ptCount val="1"/>
                <c:pt idx="0">
                  <c:v>Road Transport</c:v>
                </c:pt>
              </c:strCache>
            </c:strRef>
          </c:tx>
          <c:spPr>
            <a:ln w="19050" cap="rnd">
              <a:solidFill>
                <a:srgbClr val="0073B4"/>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257D-4107-A8FC-00E50F6E07F0}"/>
            </c:ext>
          </c:extLst>
        </c:ser>
        <c:ser>
          <c:idx val="1"/>
          <c:order val="2"/>
          <c:tx>
            <c:strRef>
              <c:f>'Talnagögn | Numerical Data'!$G$54</c:f>
              <c:strCache>
                <c:ptCount val="1"/>
                <c:pt idx="0">
                  <c:v>Fishing</c:v>
                </c:pt>
              </c:strCache>
            </c:strRef>
          </c:tx>
          <c:spPr>
            <a:ln w="19050" cap="rnd">
              <a:solidFill>
                <a:srgbClr val="1E2D4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2-257D-4107-A8FC-00E50F6E07F0}"/>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80757282608695657"/>
          <c:y val="0.38350633055777344"/>
          <c:w val="0.14569371980676327"/>
          <c:h val="0.2271926542717006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r>
              <a:rPr lang="is-IS" sz="1200"/>
              <a:t>án losunar frá</a:t>
            </a:r>
          </a:p>
          <a:p>
            <a:pPr>
              <a:defRPr/>
            </a:pPr>
            <a:r>
              <a:rPr lang="is-IS" sz="1200"/>
              <a:t>landnotkun</a:t>
            </a:r>
          </a:p>
        </c:rich>
      </c:tx>
      <c:layout>
        <c:manualLayout>
          <c:xMode val="edge"/>
          <c:yMode val="edge"/>
          <c:x val="0.41698571597966022"/>
          <c:y val="0.50448798598397071"/>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25275311001817952"/>
          <c:y val="6.0104604733401727E-2"/>
          <c:w val="0.46433828032525015"/>
          <c:h val="0.83151252292082323"/>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18A6-464A-962A-6BC612C68D12}"/>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18A6-464A-962A-6BC612C68D12}"/>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18A6-464A-962A-6BC612C68D12}"/>
              </c:ext>
            </c:extLst>
          </c:dPt>
          <c:dPt>
            <c:idx val="3"/>
            <c:bubble3D val="0"/>
            <c:spPr>
              <a:solidFill>
                <a:srgbClr val="ED7D31"/>
              </a:solidFill>
              <a:ln w="19050">
                <a:solidFill>
                  <a:schemeClr val="lt1"/>
                </a:solidFill>
              </a:ln>
              <a:effectLst/>
            </c:spPr>
            <c:extLst>
              <c:ext xmlns:c16="http://schemas.microsoft.com/office/drawing/2014/chart" uri="{C3380CC4-5D6E-409C-BE32-E72D297353CC}">
                <c16:uniqueId val="{00000007-18A6-464A-962A-6BC612C68D12}"/>
              </c:ext>
            </c:extLst>
          </c:dPt>
          <c:dLbls>
            <c:dLbl>
              <c:idx val="0"/>
              <c:layout>
                <c:manualLayout>
                  <c:x val="-0.31627094494515468"/>
                  <c:y val="4.6936280052464606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372E5444-D045-4967-A116-D173F4B5BB92}" type="CATEGORYNAME">
                      <a:rPr lang="en-US" sz="1200" b="1"/>
                      <a:pPr algn="ctr" rtl="0">
                        <a:defRPr sz="1000"/>
                      </a:pPr>
                      <a:t>[CATEGORY NAME]</a:t>
                    </a:fld>
                    <a:endParaRPr lang="en-US" sz="1000" b="1"/>
                  </a:p>
                  <a:p>
                    <a:pPr algn="ctr" rtl="0">
                      <a:defRPr sz="1000"/>
                    </a:pPr>
                    <a:fld id="{2BFA168E-3233-4803-B00B-13990E658939}" type="VALUE">
                      <a:rPr lang="en-US" sz="1000"/>
                      <a:pPr algn="ctr" rtl="0">
                        <a:defRPr sz="1000"/>
                      </a:pPr>
                      <a:t>[VALUE]</a:t>
                    </a:fld>
                    <a:r>
                      <a:rPr lang="en-US" sz="1000"/>
                      <a:t> þús. tonn CO₂-íg.</a:t>
                    </a:r>
                  </a:p>
                  <a:p>
                    <a:pPr algn="ctr" rtl="0">
                      <a:defRPr sz="1000"/>
                    </a:pPr>
                    <a:fld id="{53DBEDAD-EA1B-4659-BBAB-188B0F13124B}"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23216839907443"/>
                      <c:h val="0.17539063308971309"/>
                    </c:manualLayout>
                  </c15:layout>
                  <c15:dlblFieldTable/>
                  <c15:showDataLabelsRange val="0"/>
                </c:ext>
                <c:ext xmlns:c16="http://schemas.microsoft.com/office/drawing/2014/chart" uri="{C3380CC4-5D6E-409C-BE32-E72D297353CC}">
                  <c16:uniqueId val="{00000001-18A6-464A-962A-6BC612C68D12}"/>
                </c:ext>
              </c:extLst>
            </c:dLbl>
            <c:dLbl>
              <c:idx val="1"/>
              <c:layout>
                <c:manualLayout>
                  <c:x val="-0.28907752020494365"/>
                  <c:y val="-6.783641363819548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B71C5BB-9C84-4F63-804E-762D55E7A449}" type="CATEGORYNAME">
                      <a:rPr lang="en-US" sz="1200" b="1"/>
                      <a:pPr algn="ctr" rtl="0">
                        <a:defRPr sz="1000"/>
                      </a:pPr>
                      <a:t>[CATEGORY NAME]</a:t>
                    </a:fld>
                    <a:endParaRPr lang="en-US" sz="1000" b="1"/>
                  </a:p>
                  <a:p>
                    <a:pPr algn="ctr" rtl="0">
                      <a:defRPr sz="1000"/>
                    </a:pPr>
                    <a:fld id="{46662C37-EEE3-4A28-863E-B3C5E1968145}" type="VALUE">
                      <a:rPr lang="en-US" sz="1000"/>
                      <a:pPr algn="ctr" rtl="0">
                        <a:defRPr sz="1000"/>
                      </a:pPr>
                      <a:t>[VALUE]</a:t>
                    </a:fld>
                    <a:r>
                      <a:rPr lang="en-US" sz="1000"/>
                      <a:t> þús. tonn CO₂-íg.</a:t>
                    </a:r>
                  </a:p>
                  <a:p>
                    <a:pPr algn="ctr" rtl="0">
                      <a:defRPr sz="1000"/>
                    </a:pPr>
                    <a:fld id="{7A35FD79-CDA5-4D4A-89ED-114A0C33BAF6}"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922096354166664"/>
                      <c:h val="0.21376342592592593"/>
                    </c:manualLayout>
                  </c15:layout>
                  <c15:dlblFieldTable/>
                  <c15:showDataLabelsRange val="0"/>
                </c:ext>
                <c:ext xmlns:c16="http://schemas.microsoft.com/office/drawing/2014/chart" uri="{C3380CC4-5D6E-409C-BE32-E72D297353CC}">
                  <c16:uniqueId val="{00000003-18A6-464A-962A-6BC612C68D12}"/>
                </c:ext>
              </c:extLst>
            </c:dLbl>
            <c:dLbl>
              <c:idx val="2"/>
              <c:layout>
                <c:manualLayout>
                  <c:x val="0.19534167241381825"/>
                  <c:y val="-0.1347316086863478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006CD64-816C-4A6E-B198-B53272107E6D}" type="CATEGORYNAME">
                      <a:rPr lang="en-US" sz="1200" b="1"/>
                      <a:pPr algn="ctr" rtl="0">
                        <a:defRPr sz="1000"/>
                      </a:pPr>
                      <a:t>[CATEGORY NAME]</a:t>
                    </a:fld>
                    <a:endParaRPr lang="en-US" sz="1000" b="1"/>
                  </a:p>
                  <a:p>
                    <a:pPr algn="ctr" rtl="0">
                      <a:defRPr sz="1000"/>
                    </a:pPr>
                    <a:fld id="{1DE72933-C415-4FDC-933D-900DE58F313E}" type="VALUE">
                      <a:rPr lang="en-US" sz="1000"/>
                      <a:pPr algn="ctr" rtl="0">
                        <a:defRPr sz="1000"/>
                      </a:pPr>
                      <a:t>[VALUE]</a:t>
                    </a:fld>
                    <a:r>
                      <a:rPr lang="en-US" sz="1000"/>
                      <a:t> þús. tonn CO₂-íg.</a:t>
                    </a:r>
                  </a:p>
                  <a:p>
                    <a:pPr algn="ctr" rtl="0">
                      <a:defRPr sz="1000"/>
                    </a:pPr>
                    <a:fld id="{BD3F4A2C-636C-4549-93C3-BB976AF9C64A}"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915952100103958"/>
                      <c:h val="0.17539063308971309"/>
                    </c:manualLayout>
                  </c15:layout>
                  <c15:dlblFieldTable/>
                  <c15:showDataLabelsRange val="0"/>
                </c:ext>
                <c:ext xmlns:c16="http://schemas.microsoft.com/office/drawing/2014/chart" uri="{C3380CC4-5D6E-409C-BE32-E72D297353CC}">
                  <c16:uniqueId val="{00000005-18A6-464A-962A-6BC612C68D12}"/>
                </c:ext>
              </c:extLst>
            </c:dLbl>
            <c:dLbl>
              <c:idx val="3"/>
              <c:layout>
                <c:manualLayout>
                  <c:x val="0.20101298102929663"/>
                  <c:y val="0.1910407130599673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AC53C4E-9392-47A7-99CB-0D46ADB08952}" type="CATEGORYNAME">
                      <a:rPr lang="en-US" sz="1200" b="1"/>
                      <a:pPr algn="ctr" rtl="0">
                        <a:defRPr sz="1000"/>
                      </a:pPr>
                      <a:t>[CATEGORY NAME]</a:t>
                    </a:fld>
                    <a:endParaRPr lang="en-US" sz="1000" b="1"/>
                  </a:p>
                  <a:p>
                    <a:pPr algn="ctr" rtl="0">
                      <a:defRPr sz="1000"/>
                    </a:pPr>
                    <a:fld id="{AB88BE49-91BC-4E2F-B159-078A9B5441C7}" type="VALUE">
                      <a:rPr lang="en-US" sz="1000"/>
                      <a:pPr algn="ctr" rtl="0">
                        <a:defRPr sz="1000"/>
                      </a:pPr>
                      <a:t>[VALUE]</a:t>
                    </a:fld>
                    <a:r>
                      <a:rPr lang="en-US" sz="1000"/>
                      <a:t> þús. tonn CO₂-íg.</a:t>
                    </a:r>
                  </a:p>
                  <a:p>
                    <a:pPr algn="ctr" rtl="0">
                      <a:defRPr sz="1000"/>
                    </a:pPr>
                    <a:fld id="{4490BD91-37FD-4D5D-8D9B-6F4A92F526CF}" type="PERCENTAGE">
                      <a:rPr lang="en-US" sz="1000"/>
                      <a:pPr algn="ctr" rtl="0">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99500180069312"/>
                      <c:h val="0.17539063308971309"/>
                    </c:manualLayout>
                  </c15:layout>
                  <c15:dlblFieldTable/>
                  <c15:showDataLabelsRange val="0"/>
                </c:ext>
                <c:ext xmlns:c16="http://schemas.microsoft.com/office/drawing/2014/chart" uri="{C3380CC4-5D6E-409C-BE32-E72D297353CC}">
                  <c16:uniqueId val="{00000007-18A6-464A-962A-6BC612C68D12}"/>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Emissions'!$E$20:$E$23</c:f>
              <c:strCache>
                <c:ptCount val="4"/>
                <c:pt idx="0">
                  <c:v>Orka</c:v>
                </c:pt>
                <c:pt idx="1">
                  <c:v>Iðnaður og vörunotkun</c:v>
                </c:pt>
                <c:pt idx="2">
                  <c:v>Landbúnaður</c:v>
                </c:pt>
                <c:pt idx="3">
                  <c:v>Úrgangur</c:v>
                </c:pt>
              </c:strCache>
            </c:strRef>
          </c:cat>
          <c:val>
            <c:numRef>
              <c:f>'Losun | Emissions'!$F$20:$F$23</c:f>
              <c:numCache>
                <c:formatCode>0</c:formatCode>
                <c:ptCount val="4"/>
                <c:pt idx="0">
                  <c:v>1804.0629487280448</c:v>
                </c:pt>
                <c:pt idx="1">
                  <c:v>1794.4196472392562</c:v>
                </c:pt>
                <c:pt idx="2">
                  <c:v>668.34042724521601</c:v>
                </c:pt>
                <c:pt idx="3">
                  <c:v>222.59190359498734</c:v>
                </c:pt>
              </c:numCache>
            </c:numRef>
          </c:val>
          <c:extLst>
            <c:ext xmlns:c16="http://schemas.microsoft.com/office/drawing/2014/chart" uri="{C3380CC4-5D6E-409C-BE32-E72D297353CC}">
              <c16:uniqueId val="{00000008-18A6-464A-962A-6BC612C68D12}"/>
            </c:ext>
          </c:extLst>
        </c:ser>
        <c:dLbls>
          <c:showLegendKey val="0"/>
          <c:showVal val="0"/>
          <c:showCatName val="0"/>
          <c:showSerName val="0"/>
          <c:showPercent val="0"/>
          <c:showBubbleSize val="0"/>
          <c:showLeaderLines val="1"/>
        </c:dLbls>
        <c:firstSliceAng val="120"/>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strRef>
              <c:f>'Talnagögn | Numerical Data'!$E$6</c:f>
              <c:strCache>
                <c:ptCount val="1"/>
                <c:pt idx="0">
                  <c:v>Orka</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B8A8-41AA-9236-537DD5F8E485}"/>
            </c:ext>
          </c:extLst>
        </c:ser>
        <c:ser>
          <c:idx val="1"/>
          <c:order val="1"/>
          <c:tx>
            <c:strRef>
              <c:f>'Talnagögn | Numerical Data'!$E$7</c:f>
              <c:strCache>
                <c:ptCount val="1"/>
                <c:pt idx="0">
                  <c:v>Iðnaður og vörunotkun</c:v>
                </c:pt>
              </c:strCache>
            </c:strRef>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1-B8A8-41AA-9236-537DD5F8E485}"/>
            </c:ext>
          </c:extLst>
        </c:ser>
        <c:ser>
          <c:idx val="2"/>
          <c:order val="2"/>
          <c:tx>
            <c:strRef>
              <c:f>'Talnagögn | Numerical Data'!$E$8</c:f>
              <c:strCache>
                <c:ptCount val="1"/>
                <c:pt idx="0">
                  <c:v>Landbúnaður</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B8A8-41AA-9236-537DD5F8E485}"/>
            </c:ext>
          </c:extLst>
        </c:ser>
        <c:ser>
          <c:idx val="4"/>
          <c:order val="3"/>
          <c:tx>
            <c:strRef>
              <c:f>'Talnagögn | Numerical Data'!$E$10</c:f>
              <c:strCache>
                <c:ptCount val="1"/>
                <c:pt idx="0">
                  <c:v>Úrgangur</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3-B8A8-41AA-9236-537DD5F8E485}"/>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1954871212121212"/>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strRef>
              <c:f>'Talnagögn | Numerical Data'!$E$6</c:f>
              <c:strCache>
                <c:ptCount val="1"/>
                <c:pt idx="0">
                  <c:v>Orka</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0634-4182-A1D6-AE870FBC80CF}"/>
            </c:ext>
          </c:extLst>
        </c:ser>
        <c:ser>
          <c:idx val="1"/>
          <c:order val="1"/>
          <c:tx>
            <c:strRef>
              <c:f>'Talnagögn | Numerical Data'!$E$7</c:f>
              <c:strCache>
                <c:ptCount val="1"/>
                <c:pt idx="0">
                  <c:v>Iðnaður og vörunotkun</c:v>
                </c:pt>
              </c:strCache>
            </c:strRef>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1-0634-4182-A1D6-AE870FBC80CF}"/>
            </c:ext>
          </c:extLst>
        </c:ser>
        <c:ser>
          <c:idx val="2"/>
          <c:order val="2"/>
          <c:tx>
            <c:strRef>
              <c:f>'Talnagögn | Numerical Data'!$E$8</c:f>
              <c:strCache>
                <c:ptCount val="1"/>
                <c:pt idx="0">
                  <c:v>Landbúnaður</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0634-4182-A1D6-AE870FBC80CF}"/>
            </c:ext>
          </c:extLst>
        </c:ser>
        <c:ser>
          <c:idx val="4"/>
          <c:order val="3"/>
          <c:tx>
            <c:strRef>
              <c:f>'Talnagögn | Numerical Data'!$E$10</c:f>
              <c:strCache>
                <c:ptCount val="1"/>
                <c:pt idx="0">
                  <c:v>Úrgangur</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3-0634-4182-A1D6-AE870FBC80C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GHG Emissions in Iceland</a:t>
            </a:r>
          </a:p>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89504696969696973"/>
          <c:y val="0"/>
        </c:manualLayout>
      </c:layout>
      <c:overlay val="0"/>
    </c:title>
    <c:autoTitleDeleted val="0"/>
    <c:plotArea>
      <c:layout>
        <c:manualLayout>
          <c:layoutTarget val="inner"/>
          <c:xMode val="edge"/>
          <c:yMode val="edge"/>
          <c:x val="8.3368178115666575E-2"/>
          <c:y val="3.8332205958706317E-2"/>
          <c:w val="0.64978514492753625"/>
          <c:h val="0.86576709855719858"/>
        </c:manualLayout>
      </c:layout>
      <c:barChart>
        <c:barDir val="col"/>
        <c:grouping val="stacked"/>
        <c:varyColors val="0"/>
        <c:ser>
          <c:idx val="4"/>
          <c:order val="0"/>
          <c:tx>
            <c:strRef>
              <c:f>'Talnagögn | Numerical Data'!$G$31</c:f>
              <c:strCache>
                <c:ptCount val="1"/>
                <c:pt idx="0">
                  <c:v>Aluminium Production</c:v>
                </c:pt>
              </c:strCache>
            </c:strRef>
          </c:tx>
          <c:spPr>
            <a:solidFill>
              <a:schemeClr val="bg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8E5B-4DF7-A3DD-3A7A52438F4F}"/>
            </c:ext>
          </c:extLst>
        </c:ser>
        <c:ser>
          <c:idx val="2"/>
          <c:order val="1"/>
          <c:tx>
            <c:strRef>
              <c:f>'Talnagögn | Numerical Data'!$G$29</c:f>
              <c:strCache>
                <c:ptCount val="1"/>
                <c:pt idx="0">
                  <c:v>Road Transport</c:v>
                </c:pt>
              </c:strCache>
            </c:strRef>
          </c:tx>
          <c:spPr>
            <a:solidFill>
              <a:srgbClr val="99E5DA"/>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1-8E5B-4DF7-A3DD-3A7A52438F4F}"/>
            </c:ext>
          </c:extLst>
        </c:ser>
        <c:ser>
          <c:idx val="7"/>
          <c:order val="2"/>
          <c:tx>
            <c:strRef>
              <c:f>'Talnagögn | Numerical Data'!$G$33</c:f>
              <c:strCache>
                <c:ptCount val="1"/>
                <c:pt idx="0">
                  <c:v>Agriculture</c:v>
                </c:pt>
              </c:strCache>
            </c:strRef>
          </c:tx>
          <c:spPr>
            <a:solidFill>
              <a:srgbClr val="5E9FE8"/>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8E5B-4DF7-A3DD-3A7A52438F4F}"/>
            </c:ext>
          </c:extLst>
        </c:ser>
        <c:ser>
          <c:idx val="0"/>
          <c:order val="3"/>
          <c:tx>
            <c:strRef>
              <c:f>'Talnagögn | Numerical Data'!$G$28</c:f>
              <c:strCache>
                <c:ptCount val="1"/>
                <c:pt idx="0">
                  <c:v>Fishing</c:v>
                </c:pt>
              </c:strCache>
            </c:strRef>
          </c:tx>
          <c:spPr>
            <a:solidFill>
              <a:srgbClr val="FFBB8D"/>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3-8E5B-4DF7-A3DD-3A7A52438F4F}"/>
            </c:ext>
          </c:extLst>
        </c:ser>
        <c:ser>
          <c:idx val="6"/>
          <c:order val="4"/>
          <c:tx>
            <c:strRef>
              <c:f>'Talnagögn | Numerical Data'!$G$32</c:f>
              <c:strCache>
                <c:ptCount val="1"/>
                <c:pt idx="0">
                  <c:v>Ferrosilicon and Silicon Metal Production</c:v>
                </c:pt>
              </c:strCache>
            </c:strRef>
          </c:tx>
          <c:spPr>
            <a:solidFill>
              <a:schemeClr val="tx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4-8E5B-4DF7-A3DD-3A7A52438F4F}"/>
            </c:ext>
          </c:extLst>
        </c:ser>
        <c:ser>
          <c:idx val="8"/>
          <c:order val="5"/>
          <c:tx>
            <c:strRef>
              <c:f>'Talnagögn | Numerical Data'!$G$34</c:f>
              <c:strCache>
                <c:ptCount val="1"/>
                <c:pt idx="0">
                  <c:v>Waste</c:v>
                </c:pt>
              </c:strCache>
            </c:strRef>
          </c:tx>
          <c:spPr>
            <a:solidFill>
              <a:schemeClr val="accent3">
                <a:lumMod val="40000"/>
                <a:lumOff val="6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5-8E5B-4DF7-A3DD-3A7A52438F4F}"/>
            </c:ext>
          </c:extLst>
        </c:ser>
        <c:ser>
          <c:idx val="3"/>
          <c:order val="6"/>
          <c:tx>
            <c:strRef>
              <c:f>'Talnagögn | Numerical Data'!$G$30</c:f>
              <c:strCache>
                <c:ptCount val="1"/>
                <c:pt idx="0">
                  <c:v>Geothermal Energy</c:v>
                </c:pt>
              </c:strCache>
            </c:strRef>
          </c:tx>
          <c:spPr>
            <a:solidFill>
              <a:schemeClr val="accent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6-8E5B-4DF7-A3DD-3A7A52438F4F}"/>
            </c:ext>
          </c:extLst>
        </c:ser>
        <c:ser>
          <c:idx val="9"/>
          <c:order val="7"/>
          <c:tx>
            <c:strRef>
              <c:f>'Talnagögn | Numerical Data'!$G$35</c:f>
              <c:strCache>
                <c:ptCount val="1"/>
                <c:pt idx="0">
                  <c:v>Other Emissions</c:v>
                </c:pt>
              </c:strCache>
            </c:strRef>
          </c:tx>
          <c:spPr>
            <a:solidFill>
              <a:schemeClr val="accent5">
                <a:lumMod val="20000"/>
                <a:lumOff val="8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extLst>
            <c:ext xmlns:c16="http://schemas.microsoft.com/office/drawing/2014/chart" uri="{C3380CC4-5D6E-409C-BE32-E72D297353CC}">
              <c16:uniqueId val="{00000007-8E5B-4DF7-A3DD-3A7A52438F4F}"/>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2128490044428284"/>
          <c:y val="0.21508083682426776"/>
          <c:w val="0.27727840636261497"/>
          <c:h val="0.561514018868985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GHG Emissions in Iceland</a:t>
            </a:r>
          </a:p>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89504696969696973"/>
          <c:y val="0"/>
        </c:manualLayout>
      </c:layout>
      <c:overlay val="0"/>
    </c:title>
    <c:autoTitleDeleted val="0"/>
    <c:plotArea>
      <c:layout>
        <c:manualLayout>
          <c:layoutTarget val="inner"/>
          <c:xMode val="edge"/>
          <c:yMode val="edge"/>
          <c:x val="9.3522584541062798E-2"/>
          <c:y val="3.8332184799116854E-2"/>
          <c:w val="0.63466920289855078"/>
          <c:h val="0.86576709855719858"/>
        </c:manualLayout>
      </c:layout>
      <c:lineChart>
        <c:grouping val="standard"/>
        <c:varyColors val="0"/>
        <c:ser>
          <c:idx val="4"/>
          <c:order val="0"/>
          <c:tx>
            <c:strRef>
              <c:f>'Talnagögn | Numerical Data'!$G$31</c:f>
              <c:strCache>
                <c:ptCount val="1"/>
                <c:pt idx="0">
                  <c:v>Aluminium Production</c:v>
                </c:pt>
              </c:strCache>
            </c:strRef>
          </c:tx>
          <c:spPr>
            <a:ln>
              <a:solidFill>
                <a:schemeClr val="bg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7A20-4FE0-8218-20624CD5C165}"/>
            </c:ext>
          </c:extLst>
        </c:ser>
        <c:ser>
          <c:idx val="2"/>
          <c:order val="1"/>
          <c:tx>
            <c:strRef>
              <c:f>'Talnagögn | Numerical Data'!$G$29</c:f>
              <c:strCache>
                <c:ptCount val="1"/>
                <c:pt idx="0">
                  <c:v>Road Transport</c:v>
                </c:pt>
              </c:strCache>
            </c:strRef>
          </c:tx>
          <c:spPr>
            <a:ln>
              <a:solidFill>
                <a:srgbClr val="99E5DA"/>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7A20-4FE0-8218-20624CD5C165}"/>
            </c:ext>
          </c:extLst>
        </c:ser>
        <c:ser>
          <c:idx val="7"/>
          <c:order val="2"/>
          <c:tx>
            <c:strRef>
              <c:f>'Talnagögn | Numerical Data'!$G$33</c:f>
              <c:strCache>
                <c:ptCount val="1"/>
                <c:pt idx="0">
                  <c:v>Agriculture</c:v>
                </c:pt>
              </c:strCache>
            </c:strRef>
          </c:tx>
          <c:spPr>
            <a:ln>
              <a:solidFill>
                <a:srgbClr val="5E9FE8"/>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7A20-4FE0-8218-20624CD5C165}"/>
            </c:ext>
          </c:extLst>
        </c:ser>
        <c:ser>
          <c:idx val="0"/>
          <c:order val="3"/>
          <c:tx>
            <c:strRef>
              <c:f>'Talnagögn | Numerical Data'!$G$28</c:f>
              <c:strCache>
                <c:ptCount val="1"/>
                <c:pt idx="0">
                  <c:v>Fishing</c:v>
                </c:pt>
              </c:strCache>
            </c:strRef>
          </c:tx>
          <c:spPr>
            <a:ln>
              <a:solidFill>
                <a:srgbClr val="FFBB8D"/>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7A20-4FE0-8218-20624CD5C165}"/>
            </c:ext>
          </c:extLst>
        </c:ser>
        <c:ser>
          <c:idx val="6"/>
          <c:order val="4"/>
          <c:tx>
            <c:strRef>
              <c:f>'Talnagögn | Numerical Data'!$G$32</c:f>
              <c:strCache>
                <c:ptCount val="1"/>
                <c:pt idx="0">
                  <c:v>Ferrosilicon and Silicon Metal Production</c:v>
                </c:pt>
              </c:strCache>
            </c:strRef>
          </c:tx>
          <c:spPr>
            <a:ln>
              <a:solidFill>
                <a:schemeClr val="tx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4-7A20-4FE0-8218-20624CD5C165}"/>
            </c:ext>
          </c:extLst>
        </c:ser>
        <c:ser>
          <c:idx val="8"/>
          <c:order val="5"/>
          <c:tx>
            <c:strRef>
              <c:f>'Talnagögn | Numerical Data'!$G$34</c:f>
              <c:strCache>
                <c:ptCount val="1"/>
                <c:pt idx="0">
                  <c:v>Waste</c:v>
                </c:pt>
              </c:strCache>
            </c:strRef>
          </c:tx>
          <c:spPr>
            <a:ln>
              <a:solidFill>
                <a:schemeClr val="accent3">
                  <a:lumMod val="40000"/>
                  <a:lumOff val="6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5-7A20-4FE0-8218-20624CD5C165}"/>
            </c:ext>
          </c:extLst>
        </c:ser>
        <c:ser>
          <c:idx val="3"/>
          <c:order val="6"/>
          <c:tx>
            <c:strRef>
              <c:f>'Talnagögn | Numerical Data'!$G$30</c:f>
              <c:strCache>
                <c:ptCount val="1"/>
                <c:pt idx="0">
                  <c:v>Geothermal Energy</c:v>
                </c:pt>
              </c:strCache>
            </c:strRef>
          </c:tx>
          <c:spPr>
            <a:ln>
              <a:solidFill>
                <a:schemeClr val="accent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6-7A20-4FE0-8218-20624CD5C165}"/>
            </c:ext>
          </c:extLst>
        </c:ser>
        <c:ser>
          <c:idx val="9"/>
          <c:order val="7"/>
          <c:tx>
            <c:strRef>
              <c:f>'Talnagögn | Numerical Data'!$G$35</c:f>
              <c:strCache>
                <c:ptCount val="1"/>
                <c:pt idx="0">
                  <c:v>Other Emissions</c:v>
                </c:pt>
              </c:strCache>
            </c:strRef>
          </c:tx>
          <c:spPr>
            <a:ln>
              <a:solidFill>
                <a:schemeClr val="accent5">
                  <a:lumMod val="20000"/>
                  <a:lumOff val="8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smooth val="0"/>
          <c:extLst>
            <c:ext xmlns:c16="http://schemas.microsoft.com/office/drawing/2014/chart" uri="{C3380CC4-5D6E-409C-BE32-E72D297353CC}">
              <c16:uniqueId val="{00000007-7A20-4FE0-8218-20624CD5C165}"/>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8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456920289855077"/>
          <c:y val="0.22977991430090605"/>
          <c:w val="0.25543079710144923"/>
          <c:h val="0.5595510554516331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rPr>
              <a:t>GHG Emissions in Iceland</a:t>
            </a:r>
          </a:p>
          <a:p>
            <a:pPr>
              <a:defRPr/>
            </a:pPr>
            <a:r>
              <a:rPr lang="is-IS" sz="1200" b="0" i="0" u="none" strike="noStrike" kern="1200" spc="0" baseline="0">
                <a:solidFill>
                  <a:sysClr val="windowText" lastClr="000000"/>
                </a:solidFill>
              </a:rPr>
              <a:t>Excl. LULUCF</a:t>
            </a:r>
          </a:p>
        </c:rich>
      </c:tx>
      <c:layout>
        <c:manualLayout>
          <c:xMode val="edge"/>
          <c:yMode val="edge"/>
          <c:x val="0.76243799602709794"/>
          <c:y val="0"/>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098092491959632E-2"/>
          <c:y val="3.1535045661482006E-2"/>
          <c:w val="0.63176625036293721"/>
          <c:h val="0.88384538843411009"/>
        </c:manualLayout>
      </c:layout>
      <c:lineChart>
        <c:grouping val="standard"/>
        <c:varyColors val="0"/>
        <c:ser>
          <c:idx val="3"/>
          <c:order val="0"/>
          <c:tx>
            <c:strRef>
              <c:f>'Talnagögn | Numerical Data'!$G$31</c:f>
              <c:strCache>
                <c:ptCount val="1"/>
                <c:pt idx="0">
                  <c:v>Aluminium Production</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Data'!$I$31:$AX$31</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BBE7-4FE3-AE62-2C941153AD29}"/>
            </c:ext>
          </c:extLst>
        </c:ser>
        <c:ser>
          <c:idx val="1"/>
          <c:order val="1"/>
          <c:tx>
            <c:strRef>
              <c:f>'Talnagögn | Numerical Data'!$G$29</c:f>
              <c:strCache>
                <c:ptCount val="1"/>
                <c:pt idx="0">
                  <c:v>Road Transport</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Data'!$I$29:$AX$29</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BBE7-4FE3-AE62-2C941153AD29}"/>
            </c:ext>
          </c:extLst>
        </c:ser>
        <c:ser>
          <c:idx val="5"/>
          <c:order val="2"/>
          <c:tx>
            <c:strRef>
              <c:f>'Talnagögn | Numerical Data'!$G$33</c:f>
              <c:strCache>
                <c:ptCount val="1"/>
                <c:pt idx="0">
                  <c:v>Agriculture</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Data'!$I$33:$AX$33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BBE7-4FE3-AE62-2C941153AD29}"/>
            </c:ext>
          </c:extLst>
        </c:ser>
        <c:ser>
          <c:idx val="0"/>
          <c:order val="3"/>
          <c:tx>
            <c:strRef>
              <c:f>'Talnagögn | Numerical Data'!$G$28</c:f>
              <c:strCache>
                <c:ptCount val="1"/>
                <c:pt idx="0">
                  <c:v>Fishing</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Data'!$I$28:$AX$28</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BBE7-4FE3-AE62-2C941153AD29}"/>
            </c:ext>
          </c:extLst>
        </c:ser>
        <c:ser>
          <c:idx val="7"/>
          <c:order val="4"/>
          <c:tx>
            <c:strRef>
              <c:f>'Talnagögn | Numerical Data'!$G$35</c:f>
              <c:strCache>
                <c:ptCount val="1"/>
                <c:pt idx="0">
                  <c:v>Other Emissions</c:v>
                </c:pt>
              </c:strCache>
            </c:strRef>
          </c:tx>
          <c:spPr>
            <a:ln w="19050" cap="rnd">
              <a:solidFill>
                <a:schemeClr val="accent5">
                  <a:lumMod val="20000"/>
                  <a:lumOff val="8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Data'!$I$37:$AX$37</c:f>
              <c:numCache>
                <c:formatCode>0</c:formatCode>
                <c:ptCount val="42"/>
                <c:pt idx="0">
                  <c:v>1081.6072131862525</c:v>
                </c:pt>
                <c:pt idx="1">
                  <c:v>964.82562603849942</c:v>
                </c:pt>
                <c:pt idx="2">
                  <c:v>1032.0985909312053</c:v>
                </c:pt>
                <c:pt idx="3">
                  <c:v>1140.1708613625788</c:v>
                </c:pt>
                <c:pt idx="4">
                  <c:v>1097.5460359544873</c:v>
                </c:pt>
                <c:pt idx="5">
                  <c:v>1174.4934194169173</c:v>
                </c:pt>
                <c:pt idx="6">
                  <c:v>1245.9307422803806</c:v>
                </c:pt>
                <c:pt idx="7">
                  <c:v>1303.9932350903321</c:v>
                </c:pt>
                <c:pt idx="8">
                  <c:v>1257.0240916017306</c:v>
                </c:pt>
                <c:pt idx="9">
                  <c:v>1389.1862702759508</c:v>
                </c:pt>
                <c:pt idx="10">
                  <c:v>1477.8355339966097</c:v>
                </c:pt>
                <c:pt idx="11">
                  <c:v>1533.7346143213349</c:v>
                </c:pt>
                <c:pt idx="12">
                  <c:v>1518.6372763681493</c:v>
                </c:pt>
                <c:pt idx="13">
                  <c:v>1457.9092626493425</c:v>
                </c:pt>
                <c:pt idx="14">
                  <c:v>1542.6747991434436</c:v>
                </c:pt>
                <c:pt idx="15">
                  <c:v>1461.149948683028</c:v>
                </c:pt>
                <c:pt idx="16">
                  <c:v>1524.29572045851</c:v>
                </c:pt>
                <c:pt idx="17">
                  <c:v>1568.2556683892062</c:v>
                </c:pt>
                <c:pt idx="18">
                  <c:v>1483.2287818501034</c:v>
                </c:pt>
                <c:pt idx="19">
                  <c:v>1297.0452254402517</c:v>
                </c:pt>
                <c:pt idx="20">
                  <c:v>1297.4190606052152</c:v>
                </c:pt>
                <c:pt idx="21">
                  <c:v>1285.4515086054512</c:v>
                </c:pt>
                <c:pt idx="22">
                  <c:v>1248.8538464079024</c:v>
                </c:pt>
                <c:pt idx="23">
                  <c:v>1258.3122131203804</c:v>
                </c:pt>
                <c:pt idx="24">
                  <c:v>1234.0034597004537</c:v>
                </c:pt>
                <c:pt idx="25">
                  <c:v>1251.7911001352691</c:v>
                </c:pt>
                <c:pt idx="26">
                  <c:v>1276.6905379988723</c:v>
                </c:pt>
                <c:pt idx="27">
                  <c:v>1261.7776649785706</c:v>
                </c:pt>
                <c:pt idx="28">
                  <c:v>1306.822630485648</c:v>
                </c:pt>
                <c:pt idx="29">
                  <c:v>1263.6100553336755</c:v>
                </c:pt>
                <c:pt idx="30">
                  <c:v>1216.0763839863312</c:v>
                </c:pt>
                <c:pt idx="31">
                  <c:v>1244.7793028407423</c:v>
                </c:pt>
                <c:pt idx="32">
                  <c:v>1325.7987067705635</c:v>
                </c:pt>
                <c:pt idx="33">
                  <c:v>1166.2329756333927</c:v>
                </c:pt>
                <c:pt idx="34">
                  <c:v>1327.3981793336775</c:v>
                </c:pt>
                <c:pt idx="35">
                  <c:v>1131.4269207556169</c:v>
                </c:pt>
              </c:numCache>
            </c:numRef>
          </c:val>
          <c:smooth val="0"/>
          <c:extLst>
            <c:ext xmlns:c16="http://schemas.microsoft.com/office/drawing/2014/chart" uri="{C3380CC4-5D6E-409C-BE32-E72D297353CC}">
              <c16:uniqueId val="{00000004-BBE7-4FE3-AE62-2C941153AD29}"/>
            </c:ext>
          </c:extLst>
        </c:ser>
        <c:ser>
          <c:idx val="2"/>
          <c:order val="5"/>
          <c:tx>
            <c:v>Ál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Data'!$I$42:$BV$42</c:f>
              <c:numCache>
                <c:formatCode>0</c:formatCode>
                <c:ptCount val="66"/>
                <c:pt idx="35">
                  <c:v>1290.3163042728158</c:v>
                </c:pt>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5-BBE7-4FE3-AE62-2C941153AD29}"/>
            </c:ext>
          </c:extLst>
        </c:ser>
        <c:ser>
          <c:idx val="4"/>
          <c:order val="6"/>
          <c:tx>
            <c:v>Vega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Data'!$I$40:$BV$40</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6-BBE7-4FE3-AE62-2C941153AD29}"/>
            </c:ext>
          </c:extLst>
        </c:ser>
        <c:ser>
          <c:idx val="6"/>
          <c:order val="7"/>
          <c:tx>
            <c:v>Land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Data'!$I$44:$BV$44</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7-BBE7-4FE3-AE62-2C941153AD29}"/>
            </c:ext>
          </c:extLst>
        </c:ser>
        <c:ser>
          <c:idx val="8"/>
          <c:order val="8"/>
          <c:tx>
            <c:v>Fiski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Data'!$I$39:$BV$39</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8-BBE7-4FE3-AE62-2C941153AD29}"/>
            </c:ext>
          </c:extLst>
        </c:ser>
        <c:ser>
          <c:idx val="9"/>
          <c:order val="9"/>
          <c:tx>
            <c:v>Annað WEM</c:v>
          </c:tx>
          <c:spPr>
            <a:ln w="19050" cap="rnd">
              <a:solidFill>
                <a:schemeClr val="accent5">
                  <a:lumMod val="20000"/>
                  <a:lumOff val="8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Data'!$I$48:$BV$48</c:f>
              <c:numCache>
                <c:formatCode>General</c:formatCode>
                <c:ptCount val="66"/>
                <c:pt idx="33">
                  <c:v>1166.2329756333927</c:v>
                </c:pt>
                <c:pt idx="35">
                  <c:v>1131.4269207556169</c:v>
                </c:pt>
                <c:pt idx="36" formatCode="0">
                  <c:v>1086.5518689175826</c:v>
                </c:pt>
                <c:pt idx="37" formatCode="0">
                  <c:v>1192.8599120099964</c:v>
                </c:pt>
                <c:pt idx="38" formatCode="0">
                  <c:v>1141.3508895179584</c:v>
                </c:pt>
                <c:pt idx="39" formatCode="0">
                  <c:v>1107.3479524728805</c:v>
                </c:pt>
                <c:pt idx="40" formatCode="0">
                  <c:v>1082.6470959056483</c:v>
                </c:pt>
                <c:pt idx="41" formatCode="0">
                  <c:v>1048.1709282629788</c:v>
                </c:pt>
                <c:pt idx="42" formatCode="0">
                  <c:v>1036.4269330058212</c:v>
                </c:pt>
                <c:pt idx="43" formatCode="0">
                  <c:v>1040.3679825448883</c:v>
                </c:pt>
                <c:pt idx="44" formatCode="0">
                  <c:v>1020.8666494029902</c:v>
                </c:pt>
                <c:pt idx="45" formatCode="0">
                  <c:v>1000.0243974763484</c:v>
                </c:pt>
                <c:pt idx="46" formatCode="0">
                  <c:v>992.80584557883299</c:v>
                </c:pt>
                <c:pt idx="47" formatCode="0">
                  <c:v>985.51990639074972</c:v>
                </c:pt>
                <c:pt idx="48" formatCode="0">
                  <c:v>978.6485132165717</c:v>
                </c:pt>
                <c:pt idx="49" formatCode="0">
                  <c:v>970.9478799423639</c:v>
                </c:pt>
                <c:pt idx="50" formatCode="0">
                  <c:v>961.4813940744632</c:v>
                </c:pt>
                <c:pt idx="51" formatCode="0">
                  <c:v>953.66290907763755</c:v>
                </c:pt>
                <c:pt idx="52" formatCode="0">
                  <c:v>945.64636580860531</c:v>
                </c:pt>
                <c:pt idx="53" formatCode="0">
                  <c:v>937.78917010680175</c:v>
                </c:pt>
                <c:pt idx="54" formatCode="0">
                  <c:v>930.05583667066833</c:v>
                </c:pt>
                <c:pt idx="55" formatCode="0">
                  <c:v>922.07675205152054</c:v>
                </c:pt>
                <c:pt idx="56" formatCode="0">
                  <c:v>914.47364565335079</c:v>
                </c:pt>
                <c:pt idx="57" formatCode="0">
                  <c:v>906.97321929469524</c:v>
                </c:pt>
                <c:pt idx="58" formatCode="0">
                  <c:v>898.90233043081992</c:v>
                </c:pt>
                <c:pt idx="59" formatCode="0">
                  <c:v>890.8906477165101</c:v>
                </c:pt>
                <c:pt idx="60" formatCode="0">
                  <c:v>882.6001842296206</c:v>
                </c:pt>
                <c:pt idx="61" formatCode="0">
                  <c:v>869.84007453452</c:v>
                </c:pt>
                <c:pt idx="62" formatCode="0">
                  <c:v>862.62919778865046</c:v>
                </c:pt>
                <c:pt idx="63" formatCode="0">
                  <c:v>855.76131979152728</c:v>
                </c:pt>
                <c:pt idx="64" formatCode="0">
                  <c:v>849.31334761130279</c:v>
                </c:pt>
                <c:pt idx="65" formatCode="0">
                  <c:v>843.27635209057416</c:v>
                </c:pt>
              </c:numCache>
            </c:numRef>
          </c:val>
          <c:smooth val="0"/>
          <c:extLst>
            <c:ext xmlns:c16="http://schemas.microsoft.com/office/drawing/2014/chart" uri="{C3380CC4-5D6E-409C-BE32-E72D297353CC}">
              <c16:uniqueId val="{00000009-BBE7-4FE3-AE62-2C941153AD29}"/>
            </c:ext>
          </c:extLst>
        </c:ser>
        <c:dLbls>
          <c:showLegendKey val="0"/>
          <c:showVal val="0"/>
          <c:showCatName val="0"/>
          <c:showSerName val="0"/>
          <c:showPercent val="0"/>
          <c:showBubbleSize val="0"/>
        </c:dLbls>
        <c:smooth val="0"/>
        <c:axId val="2076083800"/>
        <c:axId val="2076083080"/>
      </c:lineChart>
      <c:catAx>
        <c:axId val="2076083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080"/>
        <c:crosses val="autoZero"/>
        <c:auto val="1"/>
        <c:lblAlgn val="ctr"/>
        <c:lblOffset val="100"/>
        <c:noMultiLvlLbl val="0"/>
      </c:catAx>
      <c:valAx>
        <c:axId val="207608308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25000">
                    <a:solidFill>
                      <a:sysClr val="windowText" lastClr="000000"/>
                    </a:solidFill>
                  </a:rPr>
                  <a:t>-</a:t>
                </a:r>
                <a:r>
                  <a:rPr lang="en-US" sz="1000" b="0" i="0" u="none" strike="noStrike" kern="1200" baseline="0">
                    <a:solidFill>
                      <a:sysClr val="windowText" lastClr="000000"/>
                    </a:solidFill>
                  </a:rPr>
                  <a:t>e)</a:t>
                </a:r>
              </a:p>
            </c:rich>
          </c:tx>
          <c:layout>
            <c:manualLayout>
              <c:xMode val="edge"/>
              <c:yMode val="edge"/>
              <c:x val="0"/>
              <c:y val="0.2208927359131025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597791763990662"/>
          <c:y val="0.31555742938023251"/>
          <c:w val="0.20647379227053139"/>
          <c:h val="0.377711164340086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9.1134259259259262E-2"/>
          <c:w val="0.5964689056725051"/>
          <c:h val="0.82209166666666678"/>
        </c:manualLayout>
      </c:layout>
      <c:lineChart>
        <c:grouping val="standard"/>
        <c:varyColors val="0"/>
        <c:ser>
          <c:idx val="1"/>
          <c:order val="0"/>
          <c:tx>
            <c:strRef>
              <c:f>'Talnagögn | Numerical Data'!$G$55</c:f>
              <c:strCache>
                <c:ptCount val="1"/>
                <c:pt idx="0">
                  <c:v>Road Transport</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E43-4599-BB09-0196E2553E8F}"/>
            </c:ext>
          </c:extLst>
        </c:ser>
        <c:ser>
          <c:idx val="0"/>
          <c:order val="1"/>
          <c:tx>
            <c:strRef>
              <c:f>'Talnagögn | Numerical Data'!$G$54</c:f>
              <c:strCache>
                <c:ptCount val="1"/>
                <c:pt idx="0">
                  <c:v>Fishing</c:v>
                </c:pt>
              </c:strCache>
            </c:strRef>
          </c:tx>
          <c:spPr>
            <a:ln w="28575" cap="rnd">
              <a:solidFill>
                <a:srgbClr val="5E9FE8"/>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E43-4599-BB09-0196E2553E8F}"/>
            </c:ext>
          </c:extLst>
        </c:ser>
        <c:ser>
          <c:idx val="6"/>
          <c:order val="2"/>
          <c:tx>
            <c:strRef>
              <c:f>'Talnagögn | Numerical Data'!$G$65</c:f>
              <c:strCache>
                <c:ptCount val="1"/>
                <c:pt idx="0">
                  <c:v>Geothermal Energy</c:v>
                </c:pt>
              </c:strCache>
            </c:strRef>
          </c:tx>
          <c:spPr>
            <a:ln w="28575" cap="rnd">
              <a:solidFill>
                <a:schemeClr val="accent4">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E43-4599-BB09-0196E2553E8F}"/>
            </c:ext>
          </c:extLst>
        </c:ser>
        <c:ser>
          <c:idx val="4"/>
          <c:order val="3"/>
          <c:tx>
            <c:strRef>
              <c:f>'Talnagögn | Numerical Data'!$G$58</c:f>
              <c:strCache>
                <c:ptCount val="1"/>
                <c:pt idx="0">
                  <c:v>Off-Road Vehicles and Other Machinery</c:v>
                </c:pt>
              </c:strCache>
            </c:strRef>
          </c:tx>
          <c:spPr>
            <a:ln w="28575"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smooth val="0"/>
          <c:extLst>
            <c:ext xmlns:c16="http://schemas.microsoft.com/office/drawing/2014/chart" uri="{C3380CC4-5D6E-409C-BE32-E72D297353CC}">
              <c16:uniqueId val="{00000003-1E43-4599-BB09-0196E2553E8F}"/>
            </c:ext>
          </c:extLst>
        </c:ser>
        <c:ser>
          <c:idx val="5"/>
          <c:order val="4"/>
          <c:tx>
            <c:strRef>
              <c:f>'Talnagögn | Numerical Data'!$G$62</c:f>
              <c:strCache>
                <c:ptCount val="1"/>
                <c:pt idx="0">
                  <c:v>Fuel Combustion in Stationary Industry</c:v>
                </c:pt>
              </c:strCache>
            </c:strRef>
          </c:tx>
          <c:spPr>
            <a:ln w="28575"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smooth val="0"/>
          <c:extLst>
            <c:ext xmlns:c16="http://schemas.microsoft.com/office/drawing/2014/chart" uri="{C3380CC4-5D6E-409C-BE32-E72D297353CC}">
              <c16:uniqueId val="{00000004-1E43-4599-BB09-0196E2553E8F}"/>
            </c:ext>
          </c:extLst>
        </c:ser>
        <c:ser>
          <c:idx val="2"/>
          <c:order val="5"/>
          <c:tx>
            <c:strRef>
              <c:f>'Talnagögn | Numerical Data'!$G$56</c:f>
              <c:strCache>
                <c:ptCount val="1"/>
                <c:pt idx="0">
                  <c:v>Domestic Aviation</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smooth val="0"/>
          <c:extLst>
            <c:ext xmlns:c16="http://schemas.microsoft.com/office/drawing/2014/chart" uri="{C3380CC4-5D6E-409C-BE32-E72D297353CC}">
              <c16:uniqueId val="{00000005-1E43-4599-BB09-0196E2553E8F}"/>
            </c:ext>
          </c:extLst>
        </c:ser>
        <c:ser>
          <c:idx val="3"/>
          <c:order val="6"/>
          <c:tx>
            <c:strRef>
              <c:f>'Talnagögn | Numerical Data'!$G$57</c:f>
              <c:strCache>
                <c:ptCount val="1"/>
                <c:pt idx="0">
                  <c:v>Domestic Navigation</c:v>
                </c:pt>
              </c:strCache>
            </c:strRef>
          </c:tx>
          <c:spPr>
            <a:ln w="28575" cap="rnd">
              <a:solidFill>
                <a:schemeClr val="accent3">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smooth val="0"/>
          <c:extLst>
            <c:ext xmlns:c16="http://schemas.microsoft.com/office/drawing/2014/chart" uri="{C3380CC4-5D6E-409C-BE32-E72D297353CC}">
              <c16:uniqueId val="{00000006-1E43-4599-BB09-0196E2553E8F}"/>
            </c:ext>
          </c:extLst>
        </c:ser>
        <c:ser>
          <c:idx val="7"/>
          <c:order val="7"/>
          <c:tx>
            <c:strRef>
              <c:f>'Talnagögn | Numerical Data'!$G$66</c:f>
              <c:strCache>
                <c:ptCount val="1"/>
                <c:pt idx="0">
                  <c:v>Other Emissions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smooth val="0"/>
          <c:extLst>
            <c:ext xmlns:c16="http://schemas.microsoft.com/office/drawing/2014/chart" uri="{C3380CC4-5D6E-409C-BE32-E72D297353CC}">
              <c16:uniqueId val="{00000007-1E43-4599-BB09-0196E2553E8F}"/>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1"/>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69523070330494408"/>
          <c:y val="0.2687314814814814"/>
          <c:w val="0.30306229578445554"/>
          <c:h val="0.4713564814814815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4.9976851851851849E-2"/>
          <c:w val="0.63750454090859732"/>
          <c:h val="0.86324907407407403"/>
        </c:manualLayout>
      </c:layout>
      <c:lineChart>
        <c:grouping val="standard"/>
        <c:varyColors val="0"/>
        <c:ser>
          <c:idx val="1"/>
          <c:order val="0"/>
          <c:tx>
            <c:strRef>
              <c:f>'Talnagögn | Numerical Data'!$E$55</c:f>
              <c:strCache>
                <c:ptCount val="1"/>
                <c:pt idx="0">
                  <c:v>Vegasamgöngur</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Data'!$I$55:$AX$55</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5625-4E9E-87E5-730840D1CB1F}"/>
            </c:ext>
          </c:extLst>
        </c:ser>
        <c:ser>
          <c:idx val="0"/>
          <c:order val="1"/>
          <c:tx>
            <c:strRef>
              <c:f>'Talnagögn | Numerical Data'!$E$54</c:f>
              <c:strCache>
                <c:ptCount val="1"/>
                <c:pt idx="0">
                  <c:v>Fiskiskip</c:v>
                </c:pt>
              </c:strCache>
            </c:strRef>
          </c:tx>
          <c:spPr>
            <a:ln w="19050" cap="rnd">
              <a:solidFill>
                <a:srgbClr val="9ADCB9"/>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Data'!$I$54:$AX$54</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5625-4E9E-87E5-730840D1CB1F}"/>
            </c:ext>
          </c:extLst>
        </c:ser>
        <c:ser>
          <c:idx val="6"/>
          <c:order val="2"/>
          <c:tx>
            <c:strRef>
              <c:f>'Talnagögn | Numerical Data'!$E$65</c:f>
              <c:strCache>
                <c:ptCount val="1"/>
                <c:pt idx="0">
                  <c:v>Jarðvarmavirkjanir</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Data'!$I$65:$AX$65</c:f>
              <c:numCache>
                <c:formatCode>0</c:formatCode>
                <c:ptCount val="42"/>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5625-4E9E-87E5-730840D1CB1F}"/>
            </c:ext>
          </c:extLst>
        </c:ser>
        <c:ser>
          <c:idx val="2"/>
          <c:order val="3"/>
          <c:tx>
            <c:v>Önnur losun</c:v>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Data'!$I$68:$AP$68</c:f>
              <c:numCache>
                <c:formatCode>0</c:formatCode>
                <c:ptCount val="34"/>
                <c:pt idx="0">
                  <c:v>487.84245916633506</c:v>
                </c:pt>
                <c:pt idx="1">
                  <c:v>397.54106960779097</c:v>
                </c:pt>
                <c:pt idx="2">
                  <c:v>450.03081711186923</c:v>
                </c:pt>
                <c:pt idx="3">
                  <c:v>482.53035443829879</c:v>
                </c:pt>
                <c:pt idx="4">
                  <c:v>455.47317812302123</c:v>
                </c:pt>
                <c:pt idx="5">
                  <c:v>495.37997734252747</c:v>
                </c:pt>
                <c:pt idx="6">
                  <c:v>550.89963235490995</c:v>
                </c:pt>
                <c:pt idx="7">
                  <c:v>587.29586539652985</c:v>
                </c:pt>
                <c:pt idx="8">
                  <c:v>569.96189663173584</c:v>
                </c:pt>
                <c:pt idx="9">
                  <c:v>589.92682511232817</c:v>
                </c:pt>
                <c:pt idx="10">
                  <c:v>523.75555443883457</c:v>
                </c:pt>
                <c:pt idx="11">
                  <c:v>571.27657251190772</c:v>
                </c:pt>
                <c:pt idx="12">
                  <c:v>570.72878192539383</c:v>
                </c:pt>
                <c:pt idx="13">
                  <c:v>524.83999727525293</c:v>
                </c:pt>
                <c:pt idx="14">
                  <c:v>578.80938182913735</c:v>
                </c:pt>
                <c:pt idx="15">
                  <c:v>521.83081346747224</c:v>
                </c:pt>
                <c:pt idx="16">
                  <c:v>532.71831569993765</c:v>
                </c:pt>
                <c:pt idx="17">
                  <c:v>529.08958271564757</c:v>
                </c:pt>
                <c:pt idx="18">
                  <c:v>478.28669859265131</c:v>
                </c:pt>
                <c:pt idx="19">
                  <c:v>339.6787408731484</c:v>
                </c:pt>
                <c:pt idx="20">
                  <c:v>290.98735924741226</c:v>
                </c:pt>
                <c:pt idx="21">
                  <c:v>268.42393377135357</c:v>
                </c:pt>
                <c:pt idx="22">
                  <c:v>238.83180391070835</c:v>
                </c:pt>
                <c:pt idx="23">
                  <c:v>223.77848724143837</c:v>
                </c:pt>
                <c:pt idx="24">
                  <c:v>211.10919355103005</c:v>
                </c:pt>
                <c:pt idx="25">
                  <c:v>238.25767745837967</c:v>
                </c:pt>
                <c:pt idx="26">
                  <c:v>256.23706047000013</c:v>
                </c:pt>
                <c:pt idx="27">
                  <c:v>239.02738240944763</c:v>
                </c:pt>
                <c:pt idx="28">
                  <c:v>227.97303091450974</c:v>
                </c:pt>
                <c:pt idx="29">
                  <c:v>212.35585946899269</c:v>
                </c:pt>
                <c:pt idx="30">
                  <c:v>145.37709341843419</c:v>
                </c:pt>
                <c:pt idx="31">
                  <c:v>155.40478263605286</c:v>
                </c:pt>
                <c:pt idx="32">
                  <c:v>222.42955769094158</c:v>
                </c:pt>
                <c:pt idx="33">
                  <c:v>191.21882503180763</c:v>
                </c:pt>
              </c:numCache>
            </c:numRef>
          </c:val>
          <c:smooth val="0"/>
          <c:extLst>
            <c:ext xmlns:c16="http://schemas.microsoft.com/office/drawing/2014/chart" uri="{C3380CC4-5D6E-409C-BE32-E72D297353CC}">
              <c16:uniqueId val="{00000003-5625-4E9E-87E5-730840D1CB1F}"/>
            </c:ext>
          </c:extLst>
        </c:ser>
        <c:ser>
          <c:idx val="8"/>
          <c:order val="4"/>
          <c:tx>
            <c:v>Fiskiskip WEM</c:v>
          </c:tx>
          <c:spPr>
            <a:ln w="19050" cap="rnd">
              <a:solidFill>
                <a:srgbClr val="9ADCB9"/>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Data'!$I$70:$BV$70</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4-5625-4E9E-87E5-730840D1CB1F}"/>
            </c:ext>
          </c:extLst>
        </c:ser>
        <c:ser>
          <c:idx val="9"/>
          <c:order val="5"/>
          <c:tx>
            <c:v>Vegasamgöngur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Data'!$I$71:$BV$71</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5-5625-4E9E-87E5-730840D1CB1F}"/>
            </c:ext>
          </c:extLst>
        </c:ser>
        <c:ser>
          <c:idx val="3"/>
          <c:order val="6"/>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Data'!$I$84:$BV$84</c:f>
              <c:numCache>
                <c:formatCode>0</c:formatCode>
                <c:ptCount val="66"/>
                <c:pt idx="33">
                  <c:v>191.21882503180763</c:v>
                </c:pt>
                <c:pt idx="35">
                  <c:v>190.65557942967135</c:v>
                </c:pt>
              </c:numCache>
            </c:numRef>
          </c:val>
          <c:smooth val="0"/>
          <c:extLst>
            <c:ext xmlns:c16="http://schemas.microsoft.com/office/drawing/2014/chart" uri="{C3380CC4-5D6E-409C-BE32-E72D297353CC}">
              <c16:uniqueId val="{00000006-5625-4E9E-87E5-730840D1CB1F}"/>
            </c:ext>
          </c:extLst>
        </c:ser>
        <c:ser>
          <c:idx val="4"/>
          <c:order val="7"/>
          <c:tx>
            <c:v>Jarðvarma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Data'!$I$81:$BV$81</c:f>
              <c:numCache>
                <c:formatCode>0</c:formatCode>
                <c:ptCount val="66"/>
                <c:pt idx="35">
                  <c:v>214.07609476451782</c:v>
                </c:pt>
                <c:pt idx="36">
                  <c:v>200.08931930544816</c:v>
                </c:pt>
                <c:pt idx="37">
                  <c:v>200.11599544820228</c:v>
                </c:pt>
                <c:pt idx="38">
                  <c:v>200.10978527269327</c:v>
                </c:pt>
                <c:pt idx="39">
                  <c:v>200.10503334211458</c:v>
                </c:pt>
                <c:pt idx="40">
                  <c:v>187.31167135433674</c:v>
                </c:pt>
                <c:pt idx="41">
                  <c:v>185.34216199016637</c:v>
                </c:pt>
                <c:pt idx="42">
                  <c:v>185.34168800695139</c:v>
                </c:pt>
                <c:pt idx="43">
                  <c:v>185.34264000619092</c:v>
                </c:pt>
                <c:pt idx="44">
                  <c:v>185.34216333443621</c:v>
                </c:pt>
                <c:pt idx="45">
                  <c:v>185.34216378252611</c:v>
                </c:pt>
                <c:pt idx="46">
                  <c:v>185.34232237438439</c:v>
                </c:pt>
                <c:pt idx="47">
                  <c:v>185.34221649711557</c:v>
                </c:pt>
                <c:pt idx="48">
                  <c:v>185.34223421800871</c:v>
                </c:pt>
                <c:pt idx="49">
                  <c:v>185.34225769650291</c:v>
                </c:pt>
                <c:pt idx="50">
                  <c:v>185.34223613720908</c:v>
                </c:pt>
                <c:pt idx="51">
                  <c:v>185.3422426839069</c:v>
                </c:pt>
                <c:pt idx="52">
                  <c:v>185.34224550587297</c:v>
                </c:pt>
                <c:pt idx="53">
                  <c:v>185.34224144232965</c:v>
                </c:pt>
                <c:pt idx="54">
                  <c:v>185.34224321070317</c:v>
                </c:pt>
                <c:pt idx="55">
                  <c:v>185.34224338630193</c:v>
                </c:pt>
                <c:pt idx="56">
                  <c:v>185.3422426797782</c:v>
                </c:pt>
                <c:pt idx="57">
                  <c:v>185.3422430922611</c:v>
                </c:pt>
                <c:pt idx="58">
                  <c:v>185.34224305278045</c:v>
                </c:pt>
                <c:pt idx="59">
                  <c:v>185.3422429416066</c:v>
                </c:pt>
                <c:pt idx="60">
                  <c:v>185.34224302888268</c:v>
                </c:pt>
                <c:pt idx="61">
                  <c:v>185.34224300775654</c:v>
                </c:pt>
                <c:pt idx="62">
                  <c:v>185.34224299274857</c:v>
                </c:pt>
                <c:pt idx="63">
                  <c:v>185.34224300979596</c:v>
                </c:pt>
                <c:pt idx="64">
                  <c:v>185.34224300343371</c:v>
                </c:pt>
                <c:pt idx="65">
                  <c:v>185.34224300199278</c:v>
                </c:pt>
              </c:numCache>
            </c:numRef>
          </c:val>
          <c:smooth val="0"/>
          <c:extLst>
            <c:ext xmlns:c16="http://schemas.microsoft.com/office/drawing/2014/chart" uri="{C3380CC4-5D6E-409C-BE32-E72D297353CC}">
              <c16:uniqueId val="{00000007-5625-4E9E-87E5-730840D1CB1F}"/>
            </c:ext>
          </c:extLst>
        </c:ser>
        <c:ser>
          <c:idx val="7"/>
          <c:order val="8"/>
          <c:tx>
            <c:v>Vega WAM</c:v>
          </c:tx>
          <c:spPr>
            <a:ln w="28575" cap="rnd">
              <a:solidFill>
                <a:schemeClr val="accent2">
                  <a:lumMod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5625-4E9E-87E5-730840D1CB1F}"/>
            </c:ext>
          </c:extLst>
        </c:ser>
        <c:ser>
          <c:idx val="10"/>
          <c:order val="9"/>
          <c:tx>
            <c:v>Fiski WAM</c:v>
          </c:tx>
          <c:spPr>
            <a:ln w="28575" cap="rnd">
              <a:solidFill>
                <a:schemeClr val="accent5">
                  <a:lumMod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5625-4E9E-87E5-730840D1CB1F}"/>
            </c:ext>
          </c:extLst>
        </c:ser>
        <c:ser>
          <c:idx val="5"/>
          <c:order val="10"/>
          <c:tx>
            <c:v>Annað WAM</c:v>
          </c:tx>
          <c:spPr>
            <a:ln w="28575"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5625-4E9E-87E5-730840D1CB1F}"/>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2"/>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solidFill>
          <a:schemeClr val="bg1"/>
        </a:solid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76148357487922702"/>
          <c:y val="0.39024537037037033"/>
          <c:w val="0.16796086956521739"/>
          <c:h val="0.225388888888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437886473429939"/>
          <c:h val="0.8754916198981505"/>
        </c:manualLayout>
      </c:layout>
      <c:lineChart>
        <c:grouping val="standard"/>
        <c:varyColors val="0"/>
        <c:ser>
          <c:idx val="1"/>
          <c:order val="0"/>
          <c:tx>
            <c:strRef>
              <c:f>'Talnagögn | Numerical Data'!$G$53</c:f>
              <c:strCache>
                <c:ptCount val="1"/>
                <c:pt idx="0">
                  <c:v>Historical Emissions</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Data'!$I$67:$AX$67</c:f>
              <c:numCache>
                <c:formatCode>0</c:formatCode>
                <c:ptCount val="42"/>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1FF7-4870-AA74-8A125130DA7B}"/>
            </c:ext>
          </c:extLst>
        </c:ser>
        <c:ser>
          <c:idx val="5"/>
          <c:order val="1"/>
          <c:tx>
            <c:strRef>
              <c:f>'Talnagögn | Numerical Data'!$G$69</c:f>
              <c:strCache>
                <c:ptCount val="1"/>
                <c:pt idx="0">
                  <c:v>Emission Projections: Government Policy-Based Scenario</c:v>
                </c:pt>
              </c:strCache>
            </c:strRef>
          </c:tx>
          <c:spPr>
            <a:ln>
              <a:solidFill>
                <a:srgbClr val="008AAC"/>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Data'!$I$83:$BV$83</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1-1FF7-4870-AA74-8A125130DA7B}"/>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7838143032918663E-4"/>
              <c:y val="0.12729852892668417"/>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204164657616467"/>
          <c:y val="0.39146807094834901"/>
          <c:w val="0.22867705314009659"/>
          <c:h val="0.214806911268672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4.7037037037037037E-2"/>
          <c:w val="0.63750454090859732"/>
          <c:h val="0.86618888888888901"/>
        </c:manualLayout>
      </c:layout>
      <c:lineChart>
        <c:grouping val="standard"/>
        <c:varyColors val="0"/>
        <c:ser>
          <c:idx val="1"/>
          <c:order val="0"/>
          <c:tx>
            <c:strRef>
              <c:f>'Talnagögn | Numerical Data'!$G$55</c:f>
              <c:strCache>
                <c:ptCount val="1"/>
                <c:pt idx="0">
                  <c:v>Road Transport</c:v>
                </c:pt>
              </c:strCache>
            </c:strRef>
          </c:tx>
          <c:spPr>
            <a:ln w="28575" cap="rnd">
              <a:solidFill>
                <a:schemeClr val="accent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Data'!$I$55:$AX$55</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459-4944-9A69-E219A88383B6}"/>
            </c:ext>
          </c:extLst>
        </c:ser>
        <c:ser>
          <c:idx val="0"/>
          <c:order val="1"/>
          <c:tx>
            <c:strRef>
              <c:f>'Talnagögn | Numerical Data'!$G$54</c:f>
              <c:strCache>
                <c:ptCount val="1"/>
                <c:pt idx="0">
                  <c:v>Fishing</c:v>
                </c:pt>
              </c:strCache>
            </c:strRef>
          </c:tx>
          <c:spPr>
            <a:ln w="28575"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Data'!$I$54:$AX$54</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459-4944-9A69-E219A88383B6}"/>
            </c:ext>
          </c:extLst>
        </c:ser>
        <c:ser>
          <c:idx val="6"/>
          <c:order val="2"/>
          <c:tx>
            <c:strRef>
              <c:f>'Talnagögn | Numerical Data'!$G$65</c:f>
              <c:strCache>
                <c:ptCount val="1"/>
                <c:pt idx="0">
                  <c:v>Geothermal Energy</c:v>
                </c:pt>
              </c:strCache>
            </c:strRef>
          </c:tx>
          <c:spPr>
            <a:ln w="28575" cap="rnd">
              <a:solidFill>
                <a:schemeClr val="accent4">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Data'!$I$65:$AX$65</c:f>
              <c:numCache>
                <c:formatCode>0</c:formatCode>
                <c:ptCount val="42"/>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459-4944-9A69-E219A88383B6}"/>
            </c:ext>
          </c:extLst>
        </c:ser>
        <c:ser>
          <c:idx val="2"/>
          <c:order val="3"/>
          <c:tx>
            <c:strRef>
              <c:f>'Talnagögn | Numerical Data'!$G$66</c:f>
              <c:strCache>
                <c:ptCount val="1"/>
                <c:pt idx="0">
                  <c:v>Other Emissions</c:v>
                </c:pt>
              </c:strCache>
            </c:strRef>
          </c:tx>
          <c:spPr>
            <a:ln w="28575"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Data'!$I$68:$AP$68</c:f>
              <c:numCache>
                <c:formatCode>0</c:formatCode>
                <c:ptCount val="34"/>
                <c:pt idx="0">
                  <c:v>487.84245916633506</c:v>
                </c:pt>
                <c:pt idx="1">
                  <c:v>397.54106960779097</c:v>
                </c:pt>
                <c:pt idx="2">
                  <c:v>450.03081711186923</c:v>
                </c:pt>
                <c:pt idx="3">
                  <c:v>482.53035443829879</c:v>
                </c:pt>
                <c:pt idx="4">
                  <c:v>455.47317812302123</c:v>
                </c:pt>
                <c:pt idx="5">
                  <c:v>495.37997734252747</c:v>
                </c:pt>
                <c:pt idx="6">
                  <c:v>550.89963235490995</c:v>
                </c:pt>
                <c:pt idx="7">
                  <c:v>587.29586539652985</c:v>
                </c:pt>
                <c:pt idx="8">
                  <c:v>569.96189663173584</c:v>
                </c:pt>
                <c:pt idx="9">
                  <c:v>589.92682511232817</c:v>
                </c:pt>
                <c:pt idx="10">
                  <c:v>523.75555443883457</c:v>
                </c:pt>
                <c:pt idx="11">
                  <c:v>571.27657251190772</c:v>
                </c:pt>
                <c:pt idx="12">
                  <c:v>570.72878192539383</c:v>
                </c:pt>
                <c:pt idx="13">
                  <c:v>524.83999727525293</c:v>
                </c:pt>
                <c:pt idx="14">
                  <c:v>578.80938182913735</c:v>
                </c:pt>
                <c:pt idx="15">
                  <c:v>521.83081346747224</c:v>
                </c:pt>
                <c:pt idx="16">
                  <c:v>532.71831569993765</c:v>
                </c:pt>
                <c:pt idx="17">
                  <c:v>529.08958271564757</c:v>
                </c:pt>
                <c:pt idx="18">
                  <c:v>478.28669859265131</c:v>
                </c:pt>
                <c:pt idx="19">
                  <c:v>339.6787408731484</c:v>
                </c:pt>
                <c:pt idx="20">
                  <c:v>290.98735924741226</c:v>
                </c:pt>
                <c:pt idx="21">
                  <c:v>268.42393377135357</c:v>
                </c:pt>
                <c:pt idx="22">
                  <c:v>238.83180391070835</c:v>
                </c:pt>
                <c:pt idx="23">
                  <c:v>223.77848724143837</c:v>
                </c:pt>
                <c:pt idx="24">
                  <c:v>211.10919355103005</c:v>
                </c:pt>
                <c:pt idx="25">
                  <c:v>238.25767745837967</c:v>
                </c:pt>
                <c:pt idx="26">
                  <c:v>256.23706047000013</c:v>
                </c:pt>
                <c:pt idx="27">
                  <c:v>239.02738240944763</c:v>
                </c:pt>
                <c:pt idx="28">
                  <c:v>227.97303091450974</c:v>
                </c:pt>
                <c:pt idx="29">
                  <c:v>212.35585946899269</c:v>
                </c:pt>
                <c:pt idx="30">
                  <c:v>145.37709341843419</c:v>
                </c:pt>
                <c:pt idx="31">
                  <c:v>155.40478263605286</c:v>
                </c:pt>
                <c:pt idx="32">
                  <c:v>222.42955769094158</c:v>
                </c:pt>
                <c:pt idx="33">
                  <c:v>191.21882503180763</c:v>
                </c:pt>
              </c:numCache>
            </c:numRef>
          </c:val>
          <c:smooth val="0"/>
          <c:extLst>
            <c:ext xmlns:c16="http://schemas.microsoft.com/office/drawing/2014/chart" uri="{C3380CC4-5D6E-409C-BE32-E72D297353CC}">
              <c16:uniqueId val="{00000003-1459-4944-9A69-E219A88383B6}"/>
            </c:ext>
          </c:extLst>
        </c:ser>
        <c:ser>
          <c:idx val="8"/>
          <c:order val="4"/>
          <c:tx>
            <c:v>Fiskiskip WEM</c:v>
          </c:tx>
          <c:spPr>
            <a:ln w="28575"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Data'!$I$70:$BV$70</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4-1459-4944-9A69-E219A88383B6}"/>
            </c:ext>
          </c:extLst>
        </c:ser>
        <c:ser>
          <c:idx val="9"/>
          <c:order val="5"/>
          <c:tx>
            <c:v>Vegasamgöngur WEM</c:v>
          </c:tx>
          <c:spPr>
            <a:ln w="28575" cap="rnd">
              <a:solidFill>
                <a:schemeClr val="accent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Data'!$I$71:$BV$71</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5-1459-4944-9A69-E219A88383B6}"/>
            </c:ext>
          </c:extLst>
        </c:ser>
        <c:ser>
          <c:idx val="4"/>
          <c:order val="6"/>
          <c:tx>
            <c:v>Jarðvarma WEM</c:v>
          </c:tx>
          <c:spPr>
            <a:ln w="28575" cap="rnd">
              <a:solidFill>
                <a:schemeClr val="accent4">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Data'!$I$81:$BV$81</c:f>
              <c:numCache>
                <c:formatCode>0</c:formatCode>
                <c:ptCount val="66"/>
                <c:pt idx="35">
                  <c:v>214.07609476451782</c:v>
                </c:pt>
                <c:pt idx="36">
                  <c:v>200.08931930544816</c:v>
                </c:pt>
                <c:pt idx="37">
                  <c:v>200.11599544820228</c:v>
                </c:pt>
                <c:pt idx="38">
                  <c:v>200.10978527269327</c:v>
                </c:pt>
                <c:pt idx="39">
                  <c:v>200.10503334211458</c:v>
                </c:pt>
                <c:pt idx="40">
                  <c:v>187.31167135433674</c:v>
                </c:pt>
                <c:pt idx="41">
                  <c:v>185.34216199016637</c:v>
                </c:pt>
                <c:pt idx="42">
                  <c:v>185.34168800695139</c:v>
                </c:pt>
                <c:pt idx="43">
                  <c:v>185.34264000619092</c:v>
                </c:pt>
                <c:pt idx="44">
                  <c:v>185.34216333443621</c:v>
                </c:pt>
                <c:pt idx="45">
                  <c:v>185.34216378252611</c:v>
                </c:pt>
                <c:pt idx="46">
                  <c:v>185.34232237438439</c:v>
                </c:pt>
                <c:pt idx="47">
                  <c:v>185.34221649711557</c:v>
                </c:pt>
                <c:pt idx="48">
                  <c:v>185.34223421800871</c:v>
                </c:pt>
                <c:pt idx="49">
                  <c:v>185.34225769650291</c:v>
                </c:pt>
                <c:pt idx="50">
                  <c:v>185.34223613720908</c:v>
                </c:pt>
                <c:pt idx="51">
                  <c:v>185.3422426839069</c:v>
                </c:pt>
                <c:pt idx="52">
                  <c:v>185.34224550587297</c:v>
                </c:pt>
                <c:pt idx="53">
                  <c:v>185.34224144232965</c:v>
                </c:pt>
                <c:pt idx="54">
                  <c:v>185.34224321070317</c:v>
                </c:pt>
                <c:pt idx="55">
                  <c:v>185.34224338630193</c:v>
                </c:pt>
                <c:pt idx="56">
                  <c:v>185.3422426797782</c:v>
                </c:pt>
                <c:pt idx="57">
                  <c:v>185.3422430922611</c:v>
                </c:pt>
                <c:pt idx="58">
                  <c:v>185.34224305278045</c:v>
                </c:pt>
                <c:pt idx="59">
                  <c:v>185.3422429416066</c:v>
                </c:pt>
                <c:pt idx="60">
                  <c:v>185.34224302888268</c:v>
                </c:pt>
                <c:pt idx="61">
                  <c:v>185.34224300775654</c:v>
                </c:pt>
                <c:pt idx="62">
                  <c:v>185.34224299274857</c:v>
                </c:pt>
                <c:pt idx="63">
                  <c:v>185.34224300979596</c:v>
                </c:pt>
                <c:pt idx="64">
                  <c:v>185.34224300343371</c:v>
                </c:pt>
                <c:pt idx="65">
                  <c:v>185.34224300199278</c:v>
                </c:pt>
              </c:numCache>
            </c:numRef>
          </c:val>
          <c:smooth val="0"/>
          <c:extLst>
            <c:ext xmlns:c16="http://schemas.microsoft.com/office/drawing/2014/chart" uri="{C3380CC4-5D6E-409C-BE32-E72D297353CC}">
              <c16:uniqueId val="{00000006-1459-4944-9A69-E219A88383B6}"/>
            </c:ext>
          </c:extLst>
        </c:ser>
        <c:ser>
          <c:idx val="3"/>
          <c:order val="7"/>
          <c:tx>
            <c:v>Annað WEM</c:v>
          </c:tx>
          <c:spPr>
            <a:ln w="28575"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Data'!$I$84:$BV$84</c:f>
              <c:numCache>
                <c:formatCode>0</c:formatCode>
                <c:ptCount val="66"/>
                <c:pt idx="33">
                  <c:v>191.21882503180763</c:v>
                </c:pt>
                <c:pt idx="35">
                  <c:v>190.65557942967135</c:v>
                </c:pt>
              </c:numCache>
            </c:numRef>
          </c:val>
          <c:smooth val="0"/>
          <c:extLst>
            <c:ext xmlns:c16="http://schemas.microsoft.com/office/drawing/2014/chart" uri="{C3380CC4-5D6E-409C-BE32-E72D297353CC}">
              <c16:uniqueId val="{00000007-1459-4944-9A69-E219A88383B6}"/>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2"/>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21379719044624"/>
          <c:y val="0.34845046296296295"/>
          <c:w val="0.20150897020225411"/>
          <c:h val="0.3274981481481481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4099094202898554"/>
          <c:h val="0.88088796296296301"/>
        </c:manualLayout>
      </c:layout>
      <c:lineChart>
        <c:grouping val="standard"/>
        <c:varyColors val="0"/>
        <c:ser>
          <c:idx val="2"/>
          <c:order val="0"/>
          <c:tx>
            <c:strRef>
              <c:f>'Talnagögn | Numerical Data'!$E$90</c:f>
              <c:strCache>
                <c:ptCount val="1"/>
                <c:pt idx="0">
                  <c:v>Álframleiðsla</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4D13-4E54-B406-40E083A94D70}"/>
            </c:ext>
          </c:extLst>
        </c:ser>
        <c:ser>
          <c:idx val="3"/>
          <c:order val="1"/>
          <c:tx>
            <c:strRef>
              <c:f>'Talnagögn | Numerical Data'!$E$91</c:f>
              <c:strCache>
                <c:ptCount val="1"/>
                <c:pt idx="0">
                  <c:v>Kísil- og kísilmálmframleiðsla</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4D13-4E54-B406-40E083A94D70}"/>
            </c:ext>
          </c:extLst>
        </c:ser>
        <c:ser>
          <c:idx val="5"/>
          <c:order val="2"/>
          <c:tx>
            <c:strRef>
              <c:f>'Talnagögn | Numerical Data'!$E$92</c:f>
              <c:strCache>
                <c:ptCount val="1"/>
                <c:pt idx="0">
                  <c:v>F-gös (m.a. kælimiðlar)</c:v>
                </c:pt>
              </c:strCache>
            </c:strRef>
          </c:tx>
          <c:spPr>
            <a:ln w="19050" cap="rnd">
              <a:solidFill>
                <a:schemeClr val="accent3">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4D13-4E54-B406-40E083A94D70}"/>
            </c:ext>
          </c:extLst>
        </c:ser>
        <c:ser>
          <c:idx val="4"/>
          <c:order val="3"/>
          <c:tx>
            <c:strRef>
              <c:f>'Talnagögn | Numerical Data'!$E$93</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Data'!$I$93:$AX$93</c15:sqref>
                  </c15:fullRef>
                </c:ext>
              </c:extLst>
              <c:f>'Talnagögn | Numerical Data'!$I$93:$AR$93</c:f>
              <c:numCache>
                <c:formatCode>0</c:formatCode>
                <c:ptCount val="36"/>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4D13-4E54-B406-40E083A94D70}"/>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885564083713828"/>
          <c:y val="0.36858888888888897"/>
          <c:w val="0.26114435916286177"/>
          <c:h val="0.2892805555555555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27137277412428E-2"/>
          <c:y val="3.2337962962962964E-2"/>
          <c:w val="0.6364050724637681"/>
          <c:h val="0.88088796296296301"/>
        </c:manualLayout>
      </c:layout>
      <c:barChart>
        <c:barDir val="col"/>
        <c:grouping val="stacked"/>
        <c:varyColors val="0"/>
        <c:ser>
          <c:idx val="2"/>
          <c:order val="0"/>
          <c:tx>
            <c:strRef>
              <c:f>'Talnagögn | Numerical Data'!$G$90</c:f>
              <c:strCache>
                <c:ptCount val="1"/>
                <c:pt idx="0">
                  <c:v>Aluminium Production</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842F-471F-A2F4-0C893DA4FFDD}"/>
            </c:ext>
          </c:extLst>
        </c:ser>
        <c:ser>
          <c:idx val="3"/>
          <c:order val="1"/>
          <c:tx>
            <c:strRef>
              <c:f>'Talnagögn | Numerical Data'!$G$91</c:f>
              <c:strCache>
                <c:ptCount val="1"/>
                <c:pt idx="0">
                  <c:v>Ferrosilicon and Silicon Metal Production</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1-842F-471F-A2F4-0C893DA4FFDD}"/>
            </c:ext>
          </c:extLst>
        </c:ser>
        <c:ser>
          <c:idx val="5"/>
          <c:order val="2"/>
          <c:tx>
            <c:strRef>
              <c:f>'Talnagögn | Numerical Data'!$G$92</c:f>
              <c:strCache>
                <c:ptCount val="1"/>
                <c:pt idx="0">
                  <c:v>F-Gases</c:v>
                </c:pt>
              </c:strCache>
            </c:strRef>
          </c:tx>
          <c:spPr>
            <a:solidFill>
              <a:schemeClr val="accent3">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extLst>
            <c:ext xmlns:c16="http://schemas.microsoft.com/office/drawing/2014/chart" uri="{C3380CC4-5D6E-409C-BE32-E72D297353CC}">
              <c16:uniqueId val="{00000002-842F-471F-A2F4-0C893DA4FFDD}"/>
            </c:ext>
          </c:extLst>
        </c:ser>
        <c:ser>
          <c:idx val="4"/>
          <c:order val="3"/>
          <c:tx>
            <c:strRef>
              <c:f>'Talnagögn | Numerical Data'!$G$93</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xmlns:c15="http://schemas.microsoft.com/office/drawing/2012/chart" uri="{02D57815-91ED-43cb-92C2-25804820EDAC}">
                  <c15:fullRef>
                    <c15:sqref>'Talnagögn | Numerical Data'!$I$93:$AP$93</c15:sqref>
                  </c15:fullRef>
                </c:ext>
              </c:extLst>
              <c:f>'Talnagögn | Numerical Data'!$I$93:$AP$93</c:f>
              <c:numCache>
                <c:formatCode>0</c:formatCode>
                <c:ptCount val="34"/>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numCache>
            </c:numRef>
          </c:val>
          <c:extLst>
            <c:ext xmlns:c16="http://schemas.microsoft.com/office/drawing/2014/chart" uri="{C3380CC4-5D6E-409C-BE32-E72D297353CC}">
              <c16:uniqueId val="{00000003-842F-471F-A2F4-0C893DA4FFDD}"/>
            </c:ext>
          </c:extLst>
        </c:ser>
        <c:dLbls>
          <c:showLegendKey val="0"/>
          <c:showVal val="0"/>
          <c:showCatName val="0"/>
          <c:showSerName val="0"/>
          <c:showPercent val="0"/>
          <c:showBubbleSize val="0"/>
        </c:dLbls>
        <c:gapWidth val="55"/>
        <c:overlap val="100"/>
        <c:axId val="431469392"/>
        <c:axId val="431469752"/>
      </c:bar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80609903381643"/>
          <c:y val="0.24511666666666668"/>
          <c:w val="0.26193888888888889"/>
          <c:h val="0.4480305555555555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1291530350079482"/>
          <c:h val="0.88088796296296301"/>
        </c:manualLayout>
      </c:layout>
      <c:lineChart>
        <c:grouping val="standard"/>
        <c:varyColors val="0"/>
        <c:ser>
          <c:idx val="2"/>
          <c:order val="0"/>
          <c:tx>
            <c:strRef>
              <c:f>'Talnagögn | Numerical Data'!$G$90</c:f>
              <c:strCache>
                <c:ptCount val="1"/>
                <c:pt idx="0">
                  <c:v>Aluminium Production</c:v>
                </c:pt>
              </c:strCache>
            </c:strRef>
          </c:tx>
          <c:spPr>
            <a:ln w="28575"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11EE-43D8-B198-353AD8EDA6FE}"/>
            </c:ext>
          </c:extLst>
        </c:ser>
        <c:ser>
          <c:idx val="3"/>
          <c:order val="1"/>
          <c:tx>
            <c:strRef>
              <c:f>'Talnagögn | Numerical Data'!$G$91</c:f>
              <c:strCache>
                <c:ptCount val="1"/>
                <c:pt idx="0">
                  <c:v>Ferrosilicon and Silicon Metal Production</c:v>
                </c:pt>
              </c:strCache>
            </c:strRef>
          </c:tx>
          <c:spPr>
            <a:ln w="28575"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11EE-43D8-B198-353AD8EDA6FE}"/>
            </c:ext>
          </c:extLst>
        </c:ser>
        <c:ser>
          <c:idx val="5"/>
          <c:order val="2"/>
          <c:tx>
            <c:strRef>
              <c:f>'Talnagögn | Numerical Data'!$G$92</c:f>
              <c:strCache>
                <c:ptCount val="1"/>
                <c:pt idx="0">
                  <c:v>F-Gases</c:v>
                </c:pt>
              </c:strCache>
            </c:strRef>
          </c:tx>
          <c:spPr>
            <a:ln w="28575" cap="rnd">
              <a:solidFill>
                <a:schemeClr val="accent3">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11EE-43D8-B198-353AD8EDA6FE}"/>
            </c:ext>
          </c:extLst>
        </c:ser>
        <c:ser>
          <c:idx val="4"/>
          <c:order val="3"/>
          <c:tx>
            <c:strRef>
              <c:f>'Talnagögn | Numerical Data'!$G$93</c:f>
              <c:strCache>
                <c:ptCount val="1"/>
                <c:pt idx="0">
                  <c:v>Other Emissions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Data'!$I$93:$AX$93</c15:sqref>
                  </c15:fullRef>
                </c:ext>
              </c:extLst>
              <c:f>'Talnagögn | Numerical Data'!$I$93:$AR$93</c:f>
              <c:numCache>
                <c:formatCode>0</c:formatCode>
                <c:ptCount val="36"/>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11EE-43D8-B198-353AD8EDA6FE}"/>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1244720620309787"/>
          <c:y val="0.30391296296296294"/>
          <c:w val="0.25527579849173782"/>
          <c:h val="0.406873148148148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064482939484343"/>
          <c:y val="3.4452246276592595E-2"/>
          <c:w val="0.59290934123819883"/>
          <c:h val="0.84650123456790127"/>
        </c:manualLayout>
      </c:layout>
      <c:areaChart>
        <c:grouping val="stacked"/>
        <c:varyColors val="0"/>
        <c:ser>
          <c:idx val="8"/>
          <c:order val="2"/>
          <c:tx>
            <c:v>IPPU Total</c:v>
          </c:tx>
          <c:spPr>
            <a:solidFill>
              <a:srgbClr val="FFD44B">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Data'!$I$99:$AX$99</c15:sqref>
                  </c15:fullRef>
                </c:ext>
              </c:extLst>
              <c:f>'Talnagögn | Numerical Data'!$I$99:$AR$99</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0-7919-45FE-9511-0D600CBF94F4}"/>
            </c:ext>
          </c:extLst>
        </c:ser>
        <c:dLbls>
          <c:showLegendKey val="0"/>
          <c:showVal val="0"/>
          <c:showCatName val="0"/>
          <c:showSerName val="0"/>
          <c:showPercent val="0"/>
          <c:showBubbleSize val="0"/>
        </c:dLbls>
        <c:axId val="993243424"/>
        <c:axId val="439305608"/>
      </c:areaChart>
      <c:lineChart>
        <c:grouping val="standard"/>
        <c:varyColors val="0"/>
        <c:ser>
          <c:idx val="0"/>
          <c:order val="0"/>
          <c:tx>
            <c:strRef>
              <c:f>'Talnagögn | Numerical Data'!$G$90</c:f>
              <c:strCache>
                <c:ptCount val="1"/>
                <c:pt idx="0">
                  <c:v>Aluminium Production</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1-7919-45FE-9511-0D600CBF94F4}"/>
            </c:ext>
          </c:extLst>
        </c:ser>
        <c:ser>
          <c:idx val="1"/>
          <c:order val="1"/>
          <c:tx>
            <c:strRef>
              <c:f>'Talnagögn | Numerical Data'!$G$91</c:f>
              <c:strCache>
                <c:ptCount val="1"/>
                <c:pt idx="0">
                  <c:v>Ferrosilicon and Silicon Metal Production</c:v>
                </c:pt>
              </c:strCache>
            </c:strRef>
          </c:tx>
          <c:spPr>
            <a:ln w="19050" cap="rnd">
              <a:solidFill>
                <a:srgbClr val="5B4346">
                  <a:lumMod val="60000"/>
                  <a:lumOff val="40000"/>
                </a:srgb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2-7919-45FE-9511-0D600CBF94F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0270968583991489"/>
          <c:y val="0.41859632658411283"/>
          <c:w val="0.28838819958389073"/>
          <c:h val="0.168525326871752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18719806763295E-2"/>
          <c:y val="3.2337962962962964E-2"/>
          <c:w val="0.63458961352657006"/>
          <c:h val="0.88088796296296301"/>
        </c:manualLayout>
      </c:layout>
      <c:lineChart>
        <c:grouping val="standard"/>
        <c:varyColors val="0"/>
        <c:ser>
          <c:idx val="14"/>
          <c:order val="0"/>
          <c:tx>
            <c:strRef>
              <c:f>'Talnagögn | Numerical Data'!$E$121</c:f>
              <c:strCache>
                <c:ptCount val="1"/>
                <c:pt idx="0">
                  <c:v>Framræst land (N₂O)</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A314-4FA0-8665-2D9D23AD3697}"/>
            </c:ext>
          </c:extLst>
        </c:ser>
        <c:ser>
          <c:idx val="2"/>
          <c:order val="1"/>
          <c:tx>
            <c:strRef>
              <c:f>'Talnagögn | Numerical Data'!$E$133</c:f>
              <c:strCache>
                <c:ptCount val="1"/>
                <c:pt idx="0">
                  <c:v>Nautgripir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A314-4FA0-8665-2D9D23AD3697}"/>
            </c:ext>
          </c:extLst>
        </c:ser>
        <c:ser>
          <c:idx val="6"/>
          <c:order val="2"/>
          <c:tx>
            <c:strRef>
              <c:f>'Talnagögn | Numerical Data'!$E$138</c:f>
              <c:strCache>
                <c:ptCount val="1"/>
                <c:pt idx="0">
                  <c:v>Sauðfé</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2-A314-4FA0-8665-2D9D23AD3697}"/>
            </c:ext>
          </c:extLst>
        </c:ser>
        <c:ser>
          <c:idx val="0"/>
          <c:order val="3"/>
          <c:tx>
            <c:strRef>
              <c:f>'Talnagögn | Numerical Data'!$E$122</c:f>
              <c:strCache>
                <c:ptCount val="1"/>
                <c:pt idx="0">
                  <c:v>Tilbúinn áburður og kölkun</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3-A314-4FA0-8665-2D9D23AD3697}"/>
            </c:ext>
          </c:extLst>
        </c:ser>
        <c:ser>
          <c:idx val="3"/>
          <c:order val="4"/>
          <c:tx>
            <c:strRef>
              <c:f>'Talnagögn | Numerical Data'!$E$128</c:f>
              <c:strCache>
                <c:ptCount val="1"/>
                <c:pt idx="0">
                  <c:v>Lífrænn áburður</c:v>
                </c:pt>
              </c:strCache>
            </c:strRef>
          </c:tx>
          <c:spPr>
            <a:ln w="19050" cap="rnd">
              <a:solidFill>
                <a:srgbClr val="F7E609"/>
              </a:solidFill>
              <a:round/>
            </a:ln>
            <a:effectLst/>
          </c:spPr>
          <c:marker>
            <c:symbol val="none"/>
          </c:marke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4-A314-4FA0-8665-2D9D23AD3697}"/>
            </c:ext>
          </c:extLst>
        </c:ser>
        <c:ser>
          <c:idx val="10"/>
          <c:order val="5"/>
          <c:tx>
            <c:strRef>
              <c:f>'Talnagögn | Numerical Data'!$E$143</c:f>
              <c:strCache>
                <c:ptCount val="1"/>
                <c:pt idx="0">
                  <c:v>Hestar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5-A314-4FA0-8665-2D9D23AD3697}"/>
            </c:ext>
          </c:extLst>
        </c:ser>
        <c:ser>
          <c:idx val="1"/>
          <c:order val="6"/>
          <c:tx>
            <c:strRef>
              <c:f>'Talnagögn | Numerical Data'!$E$148</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6-A314-4FA0-8665-2D9D23AD3697}"/>
            </c:ext>
          </c:extLst>
        </c:ser>
        <c:dLbls>
          <c:showLegendKey val="0"/>
          <c:showVal val="0"/>
          <c:showCatName val="0"/>
          <c:showSerName val="0"/>
          <c:showPercent val="0"/>
          <c:showBubbleSize val="0"/>
        </c:dLbls>
        <c:smooth val="0"/>
        <c:axId val="1082038936"/>
        <c:axId val="1142935720"/>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tickLblSkip val="2"/>
        <c:tickMarkSkip val="2"/>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sz="11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4431268115942029"/>
          <c:y val="0.30278472222222225"/>
          <c:w val="0.24648442028985507"/>
          <c:h val="0.3944305555555555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86047342673715E-2"/>
          <c:y val="3.2337962962962964E-2"/>
          <c:w val="0.6338966183574879"/>
          <c:h val="0.88088796296296301"/>
        </c:manualLayout>
      </c:layout>
      <c:barChart>
        <c:barDir val="col"/>
        <c:grouping val="stacked"/>
        <c:varyColors val="0"/>
        <c:ser>
          <c:idx val="2"/>
          <c:order val="0"/>
          <c:tx>
            <c:strRef>
              <c:f>'Talnagögn | Numerical Data'!$G$188</c:f>
              <c:strCache>
                <c:ptCount val="1"/>
                <c:pt idx="0">
                  <c:v>Agricultural Soils</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extLst>
            <c:ext xmlns:c16="http://schemas.microsoft.com/office/drawing/2014/chart" uri="{C3380CC4-5D6E-409C-BE32-E72D297353CC}">
              <c16:uniqueId val="{00000000-86DE-4FF9-BC07-056C80A8B158}"/>
            </c:ext>
          </c:extLst>
        </c:ser>
        <c:ser>
          <c:idx val="0"/>
          <c:order val="1"/>
          <c:tx>
            <c:strRef>
              <c:f>'Talnagögn | Numerical Data'!$G$186</c:f>
              <c:strCache>
                <c:ptCount val="1"/>
                <c:pt idx="0">
                  <c:v>Enteric Fermentation</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extLst>
            <c:ext xmlns:c16="http://schemas.microsoft.com/office/drawing/2014/chart" uri="{C3380CC4-5D6E-409C-BE32-E72D297353CC}">
              <c16:uniqueId val="{00000001-86DE-4FF9-BC07-056C80A8B158}"/>
            </c:ext>
          </c:extLst>
        </c:ser>
        <c:ser>
          <c:idx val="1"/>
          <c:order val="2"/>
          <c:tx>
            <c:strRef>
              <c:f>'Talnagögn | Numerical Data'!$G$187</c:f>
              <c:strCache>
                <c:ptCount val="1"/>
                <c:pt idx="0">
                  <c:v>Manure Management</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extLst>
            <c:ext xmlns:c16="http://schemas.microsoft.com/office/drawing/2014/chart" uri="{C3380CC4-5D6E-409C-BE32-E72D297353CC}">
              <c16:uniqueId val="{00000002-86DE-4FF9-BC07-056C80A8B158}"/>
            </c:ext>
          </c:extLst>
        </c:ser>
        <c:ser>
          <c:idx val="3"/>
          <c:order val="3"/>
          <c:tx>
            <c:strRef>
              <c:f>'Talnagögn | Numerical Data'!$G$189</c:f>
              <c:strCache>
                <c:ptCount val="1"/>
                <c:pt idx="0">
                  <c:v>Liming and CO₂-Emissions from Fertilizers</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extLst>
            <c:ext xmlns:c16="http://schemas.microsoft.com/office/drawing/2014/chart" uri="{C3380CC4-5D6E-409C-BE32-E72D297353CC}">
              <c16:uniqueId val="{00000003-86DE-4FF9-BC07-056C80A8B158}"/>
            </c:ext>
          </c:extLst>
        </c:ser>
        <c:dLbls>
          <c:showLegendKey val="0"/>
          <c:showVal val="0"/>
          <c:showCatName val="0"/>
          <c:showSerName val="0"/>
          <c:showPercent val="0"/>
          <c:showBubbleSize val="0"/>
        </c:dLbls>
        <c:gapWidth val="55"/>
        <c:overlap val="100"/>
        <c:axId val="439398384"/>
        <c:axId val="439399464"/>
      </c:bar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047866897993685E-3"/>
              <c:y val="0.233789583333333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1675917874396133"/>
          <c:y val="0.3579074074074074"/>
          <c:w val="0.28324082125603867"/>
          <c:h val="0.304763888888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998792270531398E-2"/>
          <c:y val="3.2337962962962964E-2"/>
          <c:w val="0.63685410628019323"/>
          <c:h val="0.88088796296296301"/>
        </c:manualLayout>
      </c:layout>
      <c:lineChart>
        <c:grouping val="standard"/>
        <c:varyColors val="0"/>
        <c:ser>
          <c:idx val="14"/>
          <c:order val="0"/>
          <c:tx>
            <c:strRef>
              <c:f>'Talnagögn | Numerical Data'!$E$121</c:f>
              <c:strCache>
                <c:ptCount val="1"/>
                <c:pt idx="0">
                  <c:v>Framræst land (N₂O)</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Data'!$I$121:$AX$121</c:f>
              <c:numCache>
                <c:formatCode>0</c:formatCode>
                <c:ptCount val="42"/>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DEED-4EAC-B456-22C7207CC943}"/>
            </c:ext>
          </c:extLst>
        </c:ser>
        <c:ser>
          <c:idx val="2"/>
          <c:order val="1"/>
          <c:tx>
            <c:strRef>
              <c:f>'Talnagögn | Numerical Data'!$E$133</c:f>
              <c:strCache>
                <c:ptCount val="1"/>
                <c:pt idx="0">
                  <c:v>Nautgripir</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Data'!$I$133:$AX$133</c:f>
              <c:numCache>
                <c:formatCode>0</c:formatCode>
                <c:ptCount val="42"/>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DEED-4EAC-B456-22C7207CC943}"/>
            </c:ext>
          </c:extLst>
        </c:ser>
        <c:ser>
          <c:idx val="6"/>
          <c:order val="2"/>
          <c:tx>
            <c:strRef>
              <c:f>'Talnagögn | Numerical Data'!$E$138</c:f>
              <c:strCache>
                <c:ptCount val="1"/>
                <c:pt idx="0">
                  <c:v>Sauðfé</c:v>
                </c:pt>
              </c:strCache>
            </c:strRef>
          </c:tx>
          <c:spPr>
            <a:ln w="19050" cap="rnd">
              <a:solidFill>
                <a:schemeClr val="accent1"/>
              </a:solidFill>
              <a:round/>
            </a:ln>
            <a:effectLst/>
          </c:spPr>
          <c:marker>
            <c:symbol val="none"/>
          </c:marker>
          <c:dPt>
            <c:idx val="0"/>
            <c:marker>
              <c:symbol val="none"/>
            </c:marker>
            <c:bubble3D val="0"/>
            <c:spPr>
              <a:ln w="19050" cap="rnd">
                <a:solidFill>
                  <a:schemeClr val="accent1"/>
                </a:solidFill>
                <a:round/>
              </a:ln>
              <a:effectLst/>
            </c:spPr>
            <c:extLst>
              <c:ext xmlns:c16="http://schemas.microsoft.com/office/drawing/2014/chart" uri="{C3380CC4-5D6E-409C-BE32-E72D297353CC}">
                <c16:uniqueId val="{00000003-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Data'!$I$138:$AX$138</c:f>
              <c:numCache>
                <c:formatCode>0</c:formatCode>
                <c:ptCount val="42"/>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4-DEED-4EAC-B456-22C7207CC943}"/>
            </c:ext>
          </c:extLst>
        </c:ser>
        <c:ser>
          <c:idx val="0"/>
          <c:order val="3"/>
          <c:tx>
            <c:strRef>
              <c:f>'Talnagögn | Numerical Data'!$E$122</c:f>
              <c:strCache>
                <c:ptCount val="1"/>
                <c:pt idx="0">
                  <c:v>Tilbúinn áburður og kölkun</c:v>
                </c:pt>
              </c:strCache>
            </c:strRef>
          </c:tx>
          <c:spPr>
            <a:ln w="19050" cap="rnd">
              <a:solidFill>
                <a:srgbClr val="FFBCB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Data'!$I$122:$AX$122</c:f>
              <c:numCache>
                <c:formatCode>0</c:formatCode>
                <c:ptCount val="42"/>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5-DEED-4EAC-B456-22C7207CC943}"/>
            </c:ext>
          </c:extLst>
        </c:ser>
        <c:ser>
          <c:idx val="11"/>
          <c:order val="4"/>
          <c:tx>
            <c:strRef>
              <c:f>'Talnagögn | Numerical Data'!$E$128</c:f>
              <c:strCache>
                <c:ptCount val="1"/>
                <c:pt idx="0">
                  <c:v>Lífrænn áburður</c:v>
                </c:pt>
              </c:strCache>
            </c:strRef>
          </c:tx>
          <c:spPr>
            <a:ln w="19050" cap="rnd">
              <a:solidFill>
                <a:srgbClr val="F7E609"/>
              </a:solidFill>
              <a:round/>
            </a:ln>
            <a:effectLst/>
          </c:spPr>
          <c:marker>
            <c:symbol val="none"/>
          </c:marker>
          <c:val>
            <c:numRef>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6-DEED-4EAC-B456-22C7207CC943}"/>
            </c:ext>
          </c:extLst>
        </c:ser>
        <c:ser>
          <c:idx val="10"/>
          <c:order val="5"/>
          <c:tx>
            <c:strRef>
              <c:f>'Talnagögn | Numerical Data'!$E$143</c:f>
              <c:strCache>
                <c:ptCount val="1"/>
                <c:pt idx="0">
                  <c:v>Hestar</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Data'!$I$143:$AX$143</c:f>
              <c:numCache>
                <c:formatCode>0</c:formatCode>
                <c:ptCount val="42"/>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7-DEED-4EAC-B456-22C7207CC943}"/>
            </c:ext>
          </c:extLst>
        </c:ser>
        <c:ser>
          <c:idx val="1"/>
          <c:order val="6"/>
          <c:tx>
            <c:strRef>
              <c:f>'Talnagögn | Numerical Data'!$E$148</c:f>
              <c:strCache>
                <c:ptCount val="1"/>
                <c:pt idx="0">
                  <c:v>Önnur losun</c:v>
                </c:pt>
              </c:strCache>
            </c:strRef>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Data'!$I$148:$AX$148</c:f>
              <c:numCache>
                <c:formatCode>0</c:formatCode>
                <c:ptCount val="42"/>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8-DEED-4EAC-B456-22C7207CC943}"/>
            </c:ext>
          </c:extLst>
        </c:ser>
        <c:ser>
          <c:idx val="7"/>
          <c:order val="7"/>
          <c:tx>
            <c:v>Framræst N2O</c:v>
          </c:tx>
          <c:spPr>
            <a:ln w="19050" cap="rnd">
              <a:solidFill>
                <a:schemeClr val="bg2"/>
              </a:solidFill>
              <a:prstDash val="dash"/>
              <a:round/>
            </a:ln>
            <a:effectLst/>
          </c:spPr>
          <c:marker>
            <c:symbol val="none"/>
          </c:marker>
          <c:dPt>
            <c:idx val="33"/>
            <c:marker>
              <c:symbol val="none"/>
            </c:marker>
            <c:bubble3D val="0"/>
            <c:spPr>
              <a:ln w="19050" cap="rnd">
                <a:solidFill>
                  <a:schemeClr val="bg2"/>
                </a:solidFill>
                <a:prstDash val="dash"/>
                <a:round/>
              </a:ln>
              <a:effectLst/>
            </c:spPr>
            <c:extLst>
              <c:ext xmlns:c16="http://schemas.microsoft.com/office/drawing/2014/chart" uri="{C3380CC4-5D6E-409C-BE32-E72D297353CC}">
                <c16:uniqueId val="{0000000A-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Data'!$I$152:$BV$152</c:f>
              <c:numCache>
                <c:formatCode>0</c:formatCode>
                <c:ptCount val="66"/>
                <c:pt idx="35">
                  <c:v>192.53067664599612</c:v>
                </c:pt>
                <c:pt idx="36">
                  <c:v>192.41479638044962</c:v>
                </c:pt>
                <c:pt idx="37">
                  <c:v>192.32534744293721</c:v>
                </c:pt>
                <c:pt idx="38">
                  <c:v>192.10376609693722</c:v>
                </c:pt>
                <c:pt idx="39">
                  <c:v>191.10856366787112</c:v>
                </c:pt>
                <c:pt idx="40">
                  <c:v>190.11599333275308</c:v>
                </c:pt>
                <c:pt idx="41">
                  <c:v>190.38535958463839</c:v>
                </c:pt>
                <c:pt idx="42">
                  <c:v>190.65740726135996</c:v>
                </c:pt>
                <c:pt idx="43">
                  <c:v>190.93216155202381</c:v>
                </c:pt>
                <c:pt idx="44">
                  <c:v>191.20964800365795</c:v>
                </c:pt>
                <c:pt idx="45">
                  <c:v>191.51155717753724</c:v>
                </c:pt>
                <c:pt idx="46">
                  <c:v>191.79449745525517</c:v>
                </c:pt>
                <c:pt idx="47">
                  <c:v>192.08024839153751</c:v>
                </c:pt>
                <c:pt idx="48">
                  <c:v>192.36883703120574</c:v>
                </c:pt>
                <c:pt idx="49">
                  <c:v>192.66029081266268</c:v>
                </c:pt>
                <c:pt idx="50">
                  <c:v>192.95463757556104</c:v>
                </c:pt>
                <c:pt idx="51">
                  <c:v>193.25190556865888</c:v>
                </c:pt>
                <c:pt idx="52">
                  <c:v>192.95080195843576</c:v>
                </c:pt>
                <c:pt idx="53">
                  <c:v>193.10014585271355</c:v>
                </c:pt>
                <c:pt idx="54">
                  <c:v>193.19016070371802</c:v>
                </c:pt>
                <c:pt idx="55">
                  <c:v>192.8144685902885</c:v>
                </c:pt>
                <c:pt idx="56">
                  <c:v>192.43539945415372</c:v>
                </c:pt>
                <c:pt idx="57">
                  <c:v>192.05633286406558</c:v>
                </c:pt>
                <c:pt idx="58">
                  <c:v>191.67726881455377</c:v>
                </c:pt>
                <c:pt idx="59">
                  <c:v>191.29820730016561</c:v>
                </c:pt>
                <c:pt idx="60">
                  <c:v>190.91914831546578</c:v>
                </c:pt>
                <c:pt idx="61">
                  <c:v>190.54009185503671</c:v>
                </c:pt>
                <c:pt idx="62">
                  <c:v>190.16103791347786</c:v>
                </c:pt>
                <c:pt idx="63">
                  <c:v>189.78198648540607</c:v>
                </c:pt>
                <c:pt idx="64">
                  <c:v>189.40293756545546</c:v>
                </c:pt>
                <c:pt idx="65">
                  <c:v>189.02389737271938</c:v>
                </c:pt>
              </c:numCache>
            </c:numRef>
          </c:val>
          <c:smooth val="0"/>
          <c:extLst>
            <c:ext xmlns:c16="http://schemas.microsoft.com/office/drawing/2014/chart" uri="{C3380CC4-5D6E-409C-BE32-E72D297353CC}">
              <c16:uniqueId val="{0000000B-DEED-4EAC-B456-22C7207CC943}"/>
            </c:ext>
          </c:extLst>
        </c:ser>
        <c:ser>
          <c:idx val="3"/>
          <c:order val="8"/>
          <c:tx>
            <c:v>Naut WEM</c:v>
          </c:tx>
          <c:spPr>
            <a:ln w="19050" cap="rnd">
              <a:solidFill>
                <a:srgbClr val="99E5DA"/>
              </a:solidFill>
              <a:prstDash val="dash"/>
              <a:round/>
            </a:ln>
            <a:effectLst/>
          </c:spPr>
          <c:marker>
            <c:symbol val="none"/>
          </c:marker>
          <c:dPt>
            <c:idx val="33"/>
            <c:marker>
              <c:symbol val="none"/>
            </c:marker>
            <c:bubble3D val="0"/>
            <c:spPr>
              <a:ln w="19050" cap="rnd">
                <a:solidFill>
                  <a:srgbClr val="99E5DA"/>
                </a:solidFill>
                <a:prstDash val="dash"/>
                <a:round/>
              </a:ln>
              <a:effectLst/>
            </c:spPr>
            <c:extLst>
              <c:ext xmlns:c16="http://schemas.microsoft.com/office/drawing/2014/chart" uri="{C3380CC4-5D6E-409C-BE32-E72D297353CC}">
                <c16:uniqueId val="{0000000D-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Data'!$I$164:$BV$164</c:f>
              <c:numCache>
                <c:formatCode>0</c:formatCode>
                <c:ptCount val="66"/>
                <c:pt idx="35">
                  <c:v>183.73286362498627</c:v>
                </c:pt>
                <c:pt idx="36">
                  <c:v>183.23472798932056</c:v>
                </c:pt>
                <c:pt idx="37">
                  <c:v>182.54345717157048</c:v>
                </c:pt>
                <c:pt idx="38">
                  <c:v>182.18584217402037</c:v>
                </c:pt>
                <c:pt idx="39">
                  <c:v>182.4038770344458</c:v>
                </c:pt>
                <c:pt idx="40">
                  <c:v>183.10455925827571</c:v>
                </c:pt>
                <c:pt idx="41">
                  <c:v>181.9105625632784</c:v>
                </c:pt>
                <c:pt idx="42">
                  <c:v>181.75447289261493</c:v>
                </c:pt>
                <c:pt idx="43">
                  <c:v>180.93215033171319</c:v>
                </c:pt>
                <c:pt idx="44">
                  <c:v>180.28379367705131</c:v>
                </c:pt>
                <c:pt idx="45">
                  <c:v>178.98036171764369</c:v>
                </c:pt>
                <c:pt idx="46">
                  <c:v>177.685128645904</c:v>
                </c:pt>
                <c:pt idx="47">
                  <c:v>176.63576868194696</c:v>
                </c:pt>
                <c:pt idx="48">
                  <c:v>175.46491614354019</c:v>
                </c:pt>
                <c:pt idx="49">
                  <c:v>174.42726431049724</c:v>
                </c:pt>
                <c:pt idx="50">
                  <c:v>173.89544940711602</c:v>
                </c:pt>
                <c:pt idx="51">
                  <c:v>173.09315571578355</c:v>
                </c:pt>
                <c:pt idx="52">
                  <c:v>172.59646762716739</c:v>
                </c:pt>
                <c:pt idx="53">
                  <c:v>172.62761117389419</c:v>
                </c:pt>
                <c:pt idx="54">
                  <c:v>173.09989974683208</c:v>
                </c:pt>
                <c:pt idx="55">
                  <c:v>171.83253166086195</c:v>
                </c:pt>
                <c:pt idx="56">
                  <c:v>171.51663469235282</c:v>
                </c:pt>
                <c:pt idx="57">
                  <c:v>170.58893461541953</c:v>
                </c:pt>
                <c:pt idx="58">
                  <c:v>169.81989718102727</c:v>
                </c:pt>
                <c:pt idx="59">
                  <c:v>168.45063544635457</c:v>
                </c:pt>
                <c:pt idx="60">
                  <c:v>167.08911784735579</c:v>
                </c:pt>
                <c:pt idx="61">
                  <c:v>165.95206256921099</c:v>
                </c:pt>
                <c:pt idx="62">
                  <c:v>164.70368529439509</c:v>
                </c:pt>
                <c:pt idx="63">
                  <c:v>163.57654938613359</c:v>
                </c:pt>
                <c:pt idx="64">
                  <c:v>162.9104671614347</c:v>
                </c:pt>
                <c:pt idx="65">
                  <c:v>161.99688395788274</c:v>
                </c:pt>
              </c:numCache>
            </c:numRef>
          </c:val>
          <c:smooth val="0"/>
          <c:extLst>
            <c:ext xmlns:c16="http://schemas.microsoft.com/office/drawing/2014/chart" uri="{C3380CC4-5D6E-409C-BE32-E72D297353CC}">
              <c16:uniqueId val="{0000000E-DEED-4EAC-B456-22C7207CC943}"/>
            </c:ext>
          </c:extLst>
        </c:ser>
        <c:ser>
          <c:idx val="9"/>
          <c:order val="9"/>
          <c:tx>
            <c:v>Kindur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Data'!$I$169:$BV$169</c:f>
              <c:numCache>
                <c:formatCode>0</c:formatCode>
                <c:ptCount val="66"/>
                <c:pt idx="35">
                  <c:v>132.03335646721749</c:v>
                </c:pt>
                <c:pt idx="36">
                  <c:v>132.05273400172456</c:v>
                </c:pt>
                <c:pt idx="37">
                  <c:v>130.7462012066764</c:v>
                </c:pt>
                <c:pt idx="38">
                  <c:v>129.43954054409571</c:v>
                </c:pt>
                <c:pt idx="39">
                  <c:v>128.13275201398261</c:v>
                </c:pt>
                <c:pt idx="40">
                  <c:v>126.82583561633696</c:v>
                </c:pt>
                <c:pt idx="41">
                  <c:v>125.51879135115887</c:v>
                </c:pt>
                <c:pt idx="42">
                  <c:v>124.21161921844826</c:v>
                </c:pt>
                <c:pt idx="43">
                  <c:v>122.90431921820515</c:v>
                </c:pt>
                <c:pt idx="44">
                  <c:v>121.59689135042962</c:v>
                </c:pt>
                <c:pt idx="45">
                  <c:v>120.28933561512156</c:v>
                </c:pt>
                <c:pt idx="46">
                  <c:v>118.98165201228099</c:v>
                </c:pt>
                <c:pt idx="47">
                  <c:v>117.67384054190795</c:v>
                </c:pt>
                <c:pt idx="48">
                  <c:v>116.36590120400245</c:v>
                </c:pt>
                <c:pt idx="49">
                  <c:v>115.05783399856445</c:v>
                </c:pt>
                <c:pt idx="50">
                  <c:v>113.74963892559396</c:v>
                </c:pt>
                <c:pt idx="51">
                  <c:v>112.44131598509098</c:v>
                </c:pt>
                <c:pt idx="52">
                  <c:v>111.13286517705552</c:v>
                </c:pt>
                <c:pt idx="53">
                  <c:v>109.82428650148758</c:v>
                </c:pt>
                <c:pt idx="54">
                  <c:v>108.51557995838714</c:v>
                </c:pt>
                <c:pt idx="55">
                  <c:v>107.20674554775421</c:v>
                </c:pt>
                <c:pt idx="56">
                  <c:v>105.89778326958881</c:v>
                </c:pt>
                <c:pt idx="57">
                  <c:v>104.58869312389091</c:v>
                </c:pt>
                <c:pt idx="58">
                  <c:v>103.27947511066053</c:v>
                </c:pt>
                <c:pt idx="59">
                  <c:v>101.97012922989765</c:v>
                </c:pt>
                <c:pt idx="60">
                  <c:v>100.6606554816023</c:v>
                </c:pt>
                <c:pt idx="61">
                  <c:v>99.35105386577446</c:v>
                </c:pt>
                <c:pt idx="62">
                  <c:v>98.041324382414103</c:v>
                </c:pt>
                <c:pt idx="63">
                  <c:v>96.731467031521348</c:v>
                </c:pt>
                <c:pt idx="64">
                  <c:v>95.421481813096051</c:v>
                </c:pt>
                <c:pt idx="65">
                  <c:v>94.111368727138228</c:v>
                </c:pt>
              </c:numCache>
            </c:numRef>
          </c:val>
          <c:smooth val="0"/>
          <c:extLst>
            <c:ext xmlns:c16="http://schemas.microsoft.com/office/drawing/2014/chart" uri="{C3380CC4-5D6E-409C-BE32-E72D297353CC}">
              <c16:uniqueId val="{0000000F-DEED-4EAC-B456-22C7207CC943}"/>
            </c:ext>
          </c:extLst>
        </c:ser>
        <c:ser>
          <c:idx val="4"/>
          <c:order val="10"/>
          <c:tx>
            <c:v>Tilbúinn áburður og kölkun WEM</c:v>
          </c:tx>
          <c:spPr>
            <a:ln w="19050" cap="rnd">
              <a:solidFill>
                <a:srgbClr val="FFBCB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Data'!$I$153:$BV$153</c:f>
              <c:numCache>
                <c:formatCode>0</c:formatCode>
                <c:ptCount val="66"/>
                <c:pt idx="35">
                  <c:v>66.57016773211484</c:v>
                </c:pt>
                <c:pt idx="36">
                  <c:v>68.849040443223032</c:v>
                </c:pt>
                <c:pt idx="37">
                  <c:v>59.258553838512611</c:v>
                </c:pt>
                <c:pt idx="38">
                  <c:v>59.238553481801581</c:v>
                </c:pt>
                <c:pt idx="39">
                  <c:v>59.181372392237833</c:v>
                </c:pt>
                <c:pt idx="40">
                  <c:v>59.111644482714766</c:v>
                </c:pt>
                <c:pt idx="41">
                  <c:v>59.053892885726924</c:v>
                </c:pt>
                <c:pt idx="42">
                  <c:v>59.016205922509251</c:v>
                </c:pt>
                <c:pt idx="43">
                  <c:v>58.977085254048617</c:v>
                </c:pt>
                <c:pt idx="44">
                  <c:v>58.932570222082177</c:v>
                </c:pt>
                <c:pt idx="45">
                  <c:v>58.893662773733823</c:v>
                </c:pt>
                <c:pt idx="46">
                  <c:v>58.856428989643753</c:v>
                </c:pt>
                <c:pt idx="47">
                  <c:v>58.822353298623227</c:v>
                </c:pt>
                <c:pt idx="48">
                  <c:v>58.788248169714109</c:v>
                </c:pt>
                <c:pt idx="49">
                  <c:v>58.754269512326829</c:v>
                </c:pt>
                <c:pt idx="50">
                  <c:v>58.718537512035667</c:v>
                </c:pt>
                <c:pt idx="51">
                  <c:v>58.685788413736937</c:v>
                </c:pt>
                <c:pt idx="52">
                  <c:v>58.65326221274546</c:v>
                </c:pt>
                <c:pt idx="53">
                  <c:v>58.616514575575181</c:v>
                </c:pt>
                <c:pt idx="54">
                  <c:v>58.578462345077497</c:v>
                </c:pt>
                <c:pt idx="55">
                  <c:v>58.553366224713727</c:v>
                </c:pt>
                <c:pt idx="56">
                  <c:v>58.521354726778917</c:v>
                </c:pt>
                <c:pt idx="57">
                  <c:v>58.495406021121141</c:v>
                </c:pt>
                <c:pt idx="58">
                  <c:v>58.469306768422371</c:v>
                </c:pt>
                <c:pt idx="59">
                  <c:v>58.448296312815316</c:v>
                </c:pt>
                <c:pt idx="60">
                  <c:v>58.42657478330397</c:v>
                </c:pt>
                <c:pt idx="61">
                  <c:v>58.404733370239818</c:v>
                </c:pt>
                <c:pt idx="62">
                  <c:v>58.384264516389003</c:v>
                </c:pt>
                <c:pt idx="63">
                  <c:v>58.364120290903102</c:v>
                </c:pt>
                <c:pt idx="64">
                  <c:v>58.341609521953771</c:v>
                </c:pt>
                <c:pt idx="65">
                  <c:v>58.321070788724946</c:v>
                </c:pt>
              </c:numCache>
            </c:numRef>
          </c:val>
          <c:smooth val="0"/>
          <c:extLst>
            <c:ext xmlns:c16="http://schemas.microsoft.com/office/drawing/2014/chart" uri="{C3380CC4-5D6E-409C-BE32-E72D297353CC}">
              <c16:uniqueId val="{00000010-DEED-4EAC-B456-22C7207CC943}"/>
            </c:ext>
          </c:extLst>
        </c:ser>
        <c:ser>
          <c:idx val="12"/>
          <c:order val="11"/>
          <c:tx>
            <c:v>lífrænn áburður WEM</c:v>
          </c:tx>
          <c:spPr>
            <a:ln w="19050" cap="rnd">
              <a:solidFill>
                <a:srgbClr val="F7E609"/>
              </a:solidFill>
              <a:prstDash val="dash"/>
              <a:round/>
            </a:ln>
            <a:effectLst/>
          </c:spPr>
          <c:marker>
            <c:symbol val="none"/>
          </c:marker>
          <c:val>
            <c:numRef>
              <c:f>'Talnagögn | Numerical Data'!$I$159:$BV$159</c:f>
              <c:numCache>
                <c:formatCode>0</c:formatCode>
                <c:ptCount val="66"/>
                <c:pt idx="35">
                  <c:v>32.395897460630628</c:v>
                </c:pt>
                <c:pt idx="36">
                  <c:v>32.831760961763685</c:v>
                </c:pt>
                <c:pt idx="37">
                  <c:v>32.814612838918471</c:v>
                </c:pt>
                <c:pt idx="38">
                  <c:v>32.803257477149728</c:v>
                </c:pt>
                <c:pt idx="39">
                  <c:v>32.860526822527468</c:v>
                </c:pt>
                <c:pt idx="40">
                  <c:v>32.941187880691793</c:v>
                </c:pt>
                <c:pt idx="41">
                  <c:v>32.872924299641973</c:v>
                </c:pt>
                <c:pt idx="42">
                  <c:v>32.911263519559931</c:v>
                </c:pt>
                <c:pt idx="43">
                  <c:v>32.8781850878499</c:v>
                </c:pt>
                <c:pt idx="44">
                  <c:v>32.855703330928371</c:v>
                </c:pt>
                <c:pt idx="45">
                  <c:v>32.77863918072044</c:v>
                </c:pt>
                <c:pt idx="46">
                  <c:v>32.729027652635644</c:v>
                </c:pt>
                <c:pt idx="47">
                  <c:v>32.685890338992621</c:v>
                </c:pt>
                <c:pt idx="48">
                  <c:v>32.634789989557341</c:v>
                </c:pt>
                <c:pt idx="49">
                  <c:v>32.584946740656456</c:v>
                </c:pt>
                <c:pt idx="50">
                  <c:v>32.571830710053881</c:v>
                </c:pt>
                <c:pt idx="51">
                  <c:v>32.543972192696614</c:v>
                </c:pt>
                <c:pt idx="52">
                  <c:v>32.521738782861718</c:v>
                </c:pt>
                <c:pt idx="53">
                  <c:v>32.564120603301646</c:v>
                </c:pt>
                <c:pt idx="54">
                  <c:v>32.628626962724923</c:v>
                </c:pt>
                <c:pt idx="55">
                  <c:v>32.552029151399857</c:v>
                </c:pt>
                <c:pt idx="56">
                  <c:v>32.575881350638852</c:v>
                </c:pt>
                <c:pt idx="57">
                  <c:v>32.532297889785369</c:v>
                </c:pt>
                <c:pt idx="58">
                  <c:v>32.498663271185009</c:v>
                </c:pt>
                <c:pt idx="59">
                  <c:v>32.413444721152516</c:v>
                </c:pt>
                <c:pt idx="60">
                  <c:v>32.353766943289301</c:v>
                </c:pt>
                <c:pt idx="61">
                  <c:v>32.300262139117585</c:v>
                </c:pt>
                <c:pt idx="62">
                  <c:v>32.239152495046184</c:v>
                </c:pt>
                <c:pt idx="63">
                  <c:v>32.179253946109355</c:v>
                </c:pt>
                <c:pt idx="64">
                  <c:v>32.153860924178346</c:v>
                </c:pt>
                <c:pt idx="65">
                  <c:v>32.114406963255689</c:v>
                </c:pt>
              </c:numCache>
            </c:numRef>
          </c:val>
          <c:smooth val="0"/>
          <c:extLst>
            <c:ext xmlns:c16="http://schemas.microsoft.com/office/drawing/2014/chart" uri="{C3380CC4-5D6E-409C-BE32-E72D297353CC}">
              <c16:uniqueId val="{00000011-DEED-4EAC-B456-22C7207CC943}"/>
            </c:ext>
          </c:extLst>
        </c:ser>
        <c:ser>
          <c:idx val="5"/>
          <c:order val="12"/>
          <c:tx>
            <c:v>Hestar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Data'!$I$174:$BV$174</c:f>
              <c:numCache>
                <c:formatCode>0</c:formatCode>
                <c:ptCount val="66"/>
                <c:pt idx="35">
                  <c:v>22.773212088953969</c:v>
                </c:pt>
                <c:pt idx="36">
                  <c:v>22.676003990787834</c:v>
                </c:pt>
                <c:pt idx="37">
                  <c:v>22.577138695336991</c:v>
                </c:pt>
                <c:pt idx="38">
                  <c:v>22.478273399886145</c:v>
                </c:pt>
                <c:pt idx="39">
                  <c:v>22.379408104435306</c:v>
                </c:pt>
                <c:pt idx="40">
                  <c:v>22.28054280898446</c:v>
                </c:pt>
                <c:pt idx="41">
                  <c:v>22.181677513533618</c:v>
                </c:pt>
                <c:pt idx="42">
                  <c:v>22.082812218082776</c:v>
                </c:pt>
                <c:pt idx="43">
                  <c:v>21.98394692263194</c:v>
                </c:pt>
                <c:pt idx="44">
                  <c:v>21.885081627181098</c:v>
                </c:pt>
                <c:pt idx="45">
                  <c:v>21.786216331730255</c:v>
                </c:pt>
                <c:pt idx="46">
                  <c:v>21.687351036279409</c:v>
                </c:pt>
                <c:pt idx="47">
                  <c:v>21.588485740828567</c:v>
                </c:pt>
                <c:pt idx="48">
                  <c:v>21.489620445377728</c:v>
                </c:pt>
                <c:pt idx="49">
                  <c:v>21.390755149926882</c:v>
                </c:pt>
                <c:pt idx="50">
                  <c:v>21.291889854476047</c:v>
                </c:pt>
                <c:pt idx="51">
                  <c:v>21.193024559025197</c:v>
                </c:pt>
                <c:pt idx="52">
                  <c:v>21.094159263574362</c:v>
                </c:pt>
                <c:pt idx="53">
                  <c:v>20.995293968123519</c:v>
                </c:pt>
                <c:pt idx="54">
                  <c:v>20.896428672672677</c:v>
                </c:pt>
                <c:pt idx="55">
                  <c:v>20.797563377221831</c:v>
                </c:pt>
                <c:pt idx="56">
                  <c:v>20.698698081770988</c:v>
                </c:pt>
                <c:pt idx="57">
                  <c:v>20.599832786320139</c:v>
                </c:pt>
                <c:pt idx="58">
                  <c:v>20.500967490869307</c:v>
                </c:pt>
                <c:pt idx="59">
                  <c:v>20.402102195418458</c:v>
                </c:pt>
                <c:pt idx="60">
                  <c:v>20.303236899967619</c:v>
                </c:pt>
                <c:pt idx="61">
                  <c:v>20.204371604516776</c:v>
                </c:pt>
                <c:pt idx="62">
                  <c:v>20.10550630906593</c:v>
                </c:pt>
                <c:pt idx="63">
                  <c:v>20.006641013615095</c:v>
                </c:pt>
                <c:pt idx="64">
                  <c:v>19.907775718164253</c:v>
                </c:pt>
                <c:pt idx="65">
                  <c:v>19.80891042271341</c:v>
                </c:pt>
              </c:numCache>
            </c:numRef>
          </c:val>
          <c:smooth val="0"/>
          <c:extLst>
            <c:ext xmlns:c16="http://schemas.microsoft.com/office/drawing/2014/chart" uri="{C3380CC4-5D6E-409C-BE32-E72D297353CC}">
              <c16:uniqueId val="{00000012-DEED-4EAC-B456-22C7207CC943}"/>
            </c:ext>
          </c:extLst>
        </c:ser>
        <c:ser>
          <c:idx val="8"/>
          <c:order val="13"/>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Data'!$I$179:$BV$179</c:f>
              <c:numCache>
                <c:formatCode>0</c:formatCode>
                <c:ptCount val="66"/>
                <c:pt idx="35">
                  <c:v>38.304253225316643</c:v>
                </c:pt>
                <c:pt idx="36">
                  <c:v>36.487128318274586</c:v>
                </c:pt>
                <c:pt idx="37">
                  <c:v>36.34373586551385</c:v>
                </c:pt>
                <c:pt idx="38">
                  <c:v>36.230544373166367</c:v>
                </c:pt>
                <c:pt idx="39">
                  <c:v>36.072212359455534</c:v>
                </c:pt>
                <c:pt idx="40">
                  <c:v>35.934002206843729</c:v>
                </c:pt>
                <c:pt idx="41">
                  <c:v>35.814635410969572</c:v>
                </c:pt>
                <c:pt idx="42">
                  <c:v>35.643072435658155</c:v>
                </c:pt>
                <c:pt idx="43">
                  <c:v>35.509778404500366</c:v>
                </c:pt>
                <c:pt idx="44">
                  <c:v>35.379963784190863</c:v>
                </c:pt>
                <c:pt idx="45">
                  <c:v>35.262439293502666</c:v>
                </c:pt>
                <c:pt idx="46">
                  <c:v>35.097562778701786</c:v>
                </c:pt>
                <c:pt idx="47">
                  <c:v>34.951961972107938</c:v>
                </c:pt>
                <c:pt idx="48">
                  <c:v>34.804297373040868</c:v>
                </c:pt>
                <c:pt idx="49">
                  <c:v>34.670828534779048</c:v>
                </c:pt>
                <c:pt idx="50">
                  <c:v>34.538680884512587</c:v>
                </c:pt>
                <c:pt idx="51">
                  <c:v>34.397366572893588</c:v>
                </c:pt>
                <c:pt idx="52">
                  <c:v>34.285001432439003</c:v>
                </c:pt>
                <c:pt idx="53">
                  <c:v>34.130502532090873</c:v>
                </c:pt>
                <c:pt idx="54">
                  <c:v>33.995002729609496</c:v>
                </c:pt>
                <c:pt idx="55">
                  <c:v>33.877028233629744</c:v>
                </c:pt>
                <c:pt idx="56">
                  <c:v>33.710470163104674</c:v>
                </c:pt>
                <c:pt idx="57">
                  <c:v>33.579735784563695</c:v>
                </c:pt>
                <c:pt idx="58">
                  <c:v>33.452381347574828</c:v>
                </c:pt>
                <c:pt idx="59">
                  <c:v>33.334995173919197</c:v>
                </c:pt>
                <c:pt idx="60">
                  <c:v>33.175111602462721</c:v>
                </c:pt>
                <c:pt idx="61">
                  <c:v>33.033379276658252</c:v>
                </c:pt>
                <c:pt idx="62">
                  <c:v>32.889862168844957</c:v>
                </c:pt>
                <c:pt idx="63">
                  <c:v>32.759727819177897</c:v>
                </c:pt>
                <c:pt idx="64">
                  <c:v>32.631021975798376</c:v>
                </c:pt>
                <c:pt idx="65">
                  <c:v>32.493920844332138</c:v>
                </c:pt>
              </c:numCache>
            </c:numRef>
          </c:val>
          <c:smooth val="0"/>
          <c:extLst>
            <c:ext xmlns:c16="http://schemas.microsoft.com/office/drawing/2014/chart" uri="{C3380CC4-5D6E-409C-BE32-E72D297353CC}">
              <c16:uniqueId val="{00000013-DEED-4EAC-B456-22C7207CC943}"/>
            </c:ext>
          </c:extLst>
        </c:ser>
        <c:dLbls>
          <c:showLegendKey val="0"/>
          <c:showVal val="0"/>
          <c:showCatName val="0"/>
          <c:showSerName val="0"/>
          <c:showPercent val="0"/>
          <c:showBubbleSize val="0"/>
        </c:dLbls>
        <c:smooth val="0"/>
        <c:axId val="1082038936"/>
        <c:axId val="1142935720"/>
        <c:extLst>
          <c:ext xmlns:c15="http://schemas.microsoft.com/office/drawing/2012/chart" uri="{02D57815-91ED-43cb-92C2-25804820EDAC}">
            <c15:filteredLineSeries>
              <c15:ser>
                <c:idx val="13"/>
                <c:order val="14"/>
                <c:tx>
                  <c:v>Áburðarnotkun WAM</c:v>
                </c:tx>
                <c:spPr>
                  <a:ln w="28575" cap="rnd">
                    <a:solidFill>
                      <a:schemeClr val="accent2">
                        <a:lumMod val="80000"/>
                        <a:lumOff val="20000"/>
                      </a:schemeClr>
                    </a:solidFill>
                    <a:round/>
                  </a:ln>
                  <a:effectLst/>
                </c:spPr>
                <c:marker>
                  <c:symbol val="none"/>
                </c:marker>
                <c:cat>
                  <c:numRef>
                    <c:extLst>
                      <c:ext uri="{02D57815-91ED-43cb-92C2-25804820EDAC}">
                        <c15:formulaRef>
                          <c15:sqref>'Talnagögn | Numerical Data'!$I$1:$BV$1</c15:sqref>
                        </c15:formulaRef>
                      </c:ext>
                    </c:extLst>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uri="{02D57815-91ED-43cb-92C2-25804820EDAC}">
                        <c15:formulaRef>
                          <c15:sqref>'Talnagögn | Numerical Data'!#REF!</c15:sqref>
                        </c15:formulaRef>
                      </c:ext>
                    </c:extLst>
                    <c:numCache>
                      <c:formatCode>General</c:formatCode>
                      <c:ptCount val="1"/>
                      <c:pt idx="0">
                        <c:v>1</c:v>
                      </c:pt>
                    </c:numCache>
                  </c:numRef>
                </c:val>
                <c:smooth val="0"/>
                <c:extLst>
                  <c:ext xmlns:c16="http://schemas.microsoft.com/office/drawing/2014/chart" uri="{C3380CC4-5D6E-409C-BE32-E72D297353CC}">
                    <c16:uniqueId val="{00000014-DEED-4EAC-B456-22C7207CC943}"/>
                  </c:ext>
                </c:extLst>
              </c15:ser>
            </c15:filteredLineSeries>
          </c:ext>
        </c:extLst>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max val="25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ayout>
        <c:manualLayout>
          <c:xMode val="edge"/>
          <c:yMode val="edge"/>
          <c:x val="0.74275470835296187"/>
          <c:y val="0.29862037037037037"/>
          <c:w val="0.25724528985507245"/>
          <c:h val="0.4120694444444443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4235845410628023"/>
          <c:h val="0.88088796296296301"/>
        </c:manualLayout>
      </c:layout>
      <c:areaChart>
        <c:grouping val="stacked"/>
        <c:varyColors val="0"/>
        <c:ser>
          <c:idx val="4"/>
          <c:order val="5"/>
          <c:tx>
            <c:v>LULUCF Total</c:v>
          </c:tx>
          <c:spPr>
            <a:solidFill>
              <a:srgbClr val="68A200">
                <a:alpha val="10000"/>
              </a:srgbClr>
            </a:solidFill>
            <a:ln>
              <a:noFill/>
            </a:ln>
            <a:effectLst/>
          </c:spP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Data'!$I$215:$AX$215</c15:sqref>
                  </c15:fullRef>
                </c:ext>
              </c:extLst>
              <c:f>'Talnagögn | Numerical Data'!$I$215:$AR$215</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CDC-49B7-98C7-F8B48175350C}"/>
            </c:ext>
          </c:extLst>
        </c:ser>
        <c:dLbls>
          <c:showLegendKey val="0"/>
          <c:showVal val="0"/>
          <c:showCatName val="0"/>
          <c:showSerName val="0"/>
          <c:showPercent val="0"/>
          <c:showBubbleSize val="0"/>
        </c:dLbls>
        <c:axId val="1137750560"/>
        <c:axId val="1137752720"/>
      </c:areaChart>
      <c:lineChart>
        <c:grouping val="standard"/>
        <c:varyColors val="0"/>
        <c:ser>
          <c:idx val="2"/>
          <c:order val="0"/>
          <c:tx>
            <c:strRef>
              <c:f>'Talnagögn | Numerical Data'!$G$212</c:f>
              <c:strCache>
                <c:ptCount val="1"/>
                <c:pt idx="0">
                  <c:v>Grassland</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BCDC-49B7-98C7-F8B48175350C}"/>
            </c:ext>
          </c:extLst>
        </c:ser>
        <c:ser>
          <c:idx val="1"/>
          <c:order val="1"/>
          <c:tx>
            <c:strRef>
              <c:f>'Talnagögn | Numerical Data'!$G$211</c:f>
              <c:strCache>
                <c:ptCount val="1"/>
                <c:pt idx="0">
                  <c:v>Cropland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BCDC-49B7-98C7-F8B48175350C}"/>
            </c:ext>
          </c:extLst>
        </c:ser>
        <c:ser>
          <c:idx val="3"/>
          <c:order val="2"/>
          <c:tx>
            <c:strRef>
              <c:f>'Talnagögn | Numerical Data'!$G$213</c:f>
              <c:strCache>
                <c:ptCount val="1"/>
                <c:pt idx="0">
                  <c:v>Wetlands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BCDC-49B7-98C7-F8B48175350C}"/>
            </c:ext>
          </c:extLst>
        </c:ser>
        <c:ser>
          <c:idx val="5"/>
          <c:order val="3"/>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BCDC-49B7-98C7-F8B48175350C}"/>
            </c:ext>
          </c:extLst>
        </c:ser>
        <c:ser>
          <c:idx val="0"/>
          <c:order val="4"/>
          <c:tx>
            <c:strRef>
              <c:f>'Talnagögn | Numerical Data'!$G$210</c:f>
              <c:strCache>
                <c:ptCount val="1"/>
                <c:pt idx="0">
                  <c:v>Forest Land</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5-BCDC-49B7-98C7-F8B48175350C}"/>
            </c:ext>
          </c:extLst>
        </c:ser>
        <c:dLbls>
          <c:showLegendKey val="0"/>
          <c:showVal val="0"/>
          <c:showCatName val="0"/>
          <c:showSerName val="0"/>
          <c:showPercent val="0"/>
          <c:showBubbleSize val="0"/>
        </c:dLbls>
        <c:marker val="1"/>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ayout>
        <c:manualLayout>
          <c:xMode val="edge"/>
          <c:yMode val="edge"/>
          <c:x val="0.74587237374429471"/>
          <c:y val="0.28857638888888887"/>
          <c:w val="0.18817355072463768"/>
          <c:h val="0.426277777777777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3008790680130367"/>
          <c:h val="0.88088796296296301"/>
        </c:manualLayout>
      </c:layout>
      <c:lineChart>
        <c:grouping val="standard"/>
        <c:varyColors val="0"/>
        <c:ser>
          <c:idx val="2"/>
          <c:order val="0"/>
          <c:tx>
            <c:strRef>
              <c:f>'Talnagögn | Numerical Data'!$G$212</c:f>
              <c:strCache>
                <c:ptCount val="1"/>
                <c:pt idx="0">
                  <c:v>Grassland</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0-CE98-4E6F-B42D-18B7D05FD20F}"/>
            </c:ext>
          </c:extLst>
        </c:ser>
        <c:ser>
          <c:idx val="1"/>
          <c:order val="1"/>
          <c:tx>
            <c:strRef>
              <c:f>'Talnagögn | Numerical Data'!$G$211</c:f>
              <c:strCache>
                <c:ptCount val="1"/>
                <c:pt idx="0">
                  <c:v>Cropland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1-CE98-4E6F-B42D-18B7D05FD20F}"/>
            </c:ext>
          </c:extLst>
        </c:ser>
        <c:ser>
          <c:idx val="3"/>
          <c:order val="2"/>
          <c:tx>
            <c:strRef>
              <c:f>'Talnagögn | Numerical Data'!$G$213</c:f>
              <c:strCache>
                <c:ptCount val="1"/>
                <c:pt idx="0">
                  <c:v>Wetlands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2-CE98-4E6F-B42D-18B7D05FD20F}"/>
            </c:ext>
          </c:extLst>
        </c:ser>
        <c:ser>
          <c:idx val="5"/>
          <c:order val="3"/>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3-CE98-4E6F-B42D-18B7D05FD20F}"/>
            </c:ext>
          </c:extLst>
        </c:ser>
        <c:ser>
          <c:idx val="0"/>
          <c:order val="4"/>
          <c:tx>
            <c:strRef>
              <c:f>'Talnagögn | Numerical Data'!$G$210</c:f>
              <c:strCache>
                <c:ptCount val="1"/>
                <c:pt idx="0">
                  <c:v>Forest Land</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4-CE98-4E6F-B42D-18B7D05FD20F}"/>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87237374429471"/>
          <c:y val="0.33267361111111116"/>
          <c:w val="0.17765108695652174"/>
          <c:h val="0.337592592592592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3775700483091791"/>
          <c:h val="0.88088796296296301"/>
        </c:manualLayout>
      </c:layout>
      <c:lineChart>
        <c:grouping val="standard"/>
        <c:varyColors val="0"/>
        <c:ser>
          <c:idx val="2"/>
          <c:order val="0"/>
          <c:tx>
            <c:strRef>
              <c:f>'Talnagögn | Numerical Data'!$E$212</c:f>
              <c:strCache>
                <c:ptCount val="1"/>
                <c:pt idx="0">
                  <c:v>Mólendi</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0-CEC9-4B79-962E-4E5CC711318D}"/>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1-CEC9-4B79-962E-4E5CC711318D}"/>
            </c:ext>
          </c:extLst>
        </c:ser>
        <c:ser>
          <c:idx val="3"/>
          <c:order val="2"/>
          <c:tx>
            <c:strRef>
              <c:f>'Talnagögn | Numerical Data'!$E$213</c:f>
              <c:strCache>
                <c:ptCount val="1"/>
                <c:pt idx="0">
                  <c:v>Votlendi</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2-CEC9-4B79-962E-4E5CC711318D}"/>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3-CEC9-4B79-962E-4E5CC711318D}"/>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4-CEC9-4B79-962E-4E5CC711318D}"/>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87237374429471"/>
          <c:y val="0.33267361111111116"/>
          <c:w val="0.13681817439870206"/>
          <c:h val="0.337592592592592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3.8158796296296288E-2"/>
          <c:w val="0.62450597914418338"/>
          <c:h val="0.84343518518518523"/>
        </c:manualLayout>
      </c:layout>
      <c:lineChart>
        <c:grouping val="standard"/>
        <c:varyColors val="0"/>
        <c:ser>
          <c:idx val="2"/>
          <c:order val="0"/>
          <c:tx>
            <c:strRef>
              <c:f>'Talnagögn | Numerical Data'!$E$212</c:f>
              <c:strCache>
                <c:ptCount val="1"/>
                <c:pt idx="0">
                  <c:v>Mólendi</c:v>
                </c:pt>
              </c:strCache>
            </c:strRef>
          </c:tx>
          <c:spPr>
            <a:ln w="19050" cap="rnd">
              <a:solidFill>
                <a:srgbClr val="66D7C7"/>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1B63-4110-9110-3D405D6E4806}"/>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1B63-4110-9110-3D405D6E4806}"/>
            </c:ext>
          </c:extLst>
        </c:ser>
        <c:ser>
          <c:idx val="3"/>
          <c:order val="2"/>
          <c:tx>
            <c:strRef>
              <c:f>'Talnagögn | Numerical Data'!$E$213</c:f>
              <c:strCache>
                <c:ptCount val="1"/>
                <c:pt idx="0">
                  <c:v>Votlendi</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1B63-4110-9110-3D405D6E4806}"/>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1B63-4110-9110-3D405D6E4806}"/>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0-1B63-4110-9110-3D405D6E4806}"/>
            </c:ext>
          </c:extLst>
        </c:ser>
        <c:ser>
          <c:idx val="4"/>
          <c:order val="5"/>
          <c:tx>
            <c:v>Forestry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smooth val="0"/>
          <c:extLst>
            <c:ext xmlns:c16="http://schemas.microsoft.com/office/drawing/2014/chart" uri="{C3380CC4-5D6E-409C-BE32-E72D297353CC}">
              <c16:uniqueId val="{00000005-1B63-4110-9110-3D405D6E4806}"/>
            </c:ext>
          </c:extLst>
        </c:ser>
        <c:ser>
          <c:idx val="7"/>
          <c:order val="6"/>
          <c:tx>
            <c:v>Mólendi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smooth val="0"/>
          <c:extLst>
            <c:ext xmlns:c16="http://schemas.microsoft.com/office/drawing/2014/chart" uri="{C3380CC4-5D6E-409C-BE32-E72D297353CC}">
              <c16:uniqueId val="{00000006-1B63-4110-9110-3D405D6E4806}"/>
            </c:ext>
          </c:extLst>
        </c:ser>
        <c:ser>
          <c:idx val="6"/>
          <c:order val="7"/>
          <c:tx>
            <c:v>Ræktað land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smooth val="0"/>
          <c:extLst>
            <c:ext xmlns:c16="http://schemas.microsoft.com/office/drawing/2014/chart" uri="{C3380CC4-5D6E-409C-BE32-E72D297353CC}">
              <c16:uniqueId val="{00000007-1B63-4110-9110-3D405D6E4806}"/>
            </c:ext>
          </c:extLst>
        </c:ser>
        <c:ser>
          <c:idx val="8"/>
          <c:order val="8"/>
          <c:tx>
            <c:v>Votlendi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smooth val="0"/>
          <c:extLst>
            <c:ext xmlns:c16="http://schemas.microsoft.com/office/drawing/2014/chart" uri="{C3380CC4-5D6E-409C-BE32-E72D297353CC}">
              <c16:uniqueId val="{00000008-1B63-4110-9110-3D405D6E4806}"/>
            </c:ext>
          </c:extLst>
        </c:ser>
        <c:ser>
          <c:idx val="9"/>
          <c:order val="9"/>
          <c:tx>
            <c:v>Annað WEM</c:v>
          </c:tx>
          <c:spPr>
            <a:ln w="19050" cap="rnd">
              <a:solidFill>
                <a:schemeClr val="accent5">
                  <a:lumMod val="40000"/>
                  <a:lumOff val="6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smooth val="0"/>
          <c:extLst>
            <c:ext xmlns:c16="http://schemas.microsoft.com/office/drawing/2014/chart" uri="{C3380CC4-5D6E-409C-BE32-E72D297353CC}">
              <c16:uniqueId val="{00000009-1B63-4110-9110-3D405D6E4806}"/>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tickLblSkip val="2"/>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313205723631293"/>
          <c:y val="0.31503472222222223"/>
          <c:w val="0.1608635578583765"/>
          <c:h val="0.384629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3.8158796296296288E-2"/>
          <c:w val="0.62450597914418338"/>
          <c:h val="0.84343518518518523"/>
        </c:manualLayout>
      </c:layout>
      <c:lineChart>
        <c:grouping val="standard"/>
        <c:varyColors val="0"/>
        <c:ser>
          <c:idx val="0"/>
          <c:order val="0"/>
          <c:tx>
            <c:strRef>
              <c:f>'Talnagögn | Numerical Data'!$G$210</c:f>
              <c:strCache>
                <c:ptCount val="1"/>
                <c:pt idx="0">
                  <c:v>Forest Land</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0-DE2C-4855-9203-85798EA6E8F8}"/>
            </c:ext>
          </c:extLst>
        </c:ser>
        <c:ser>
          <c:idx val="2"/>
          <c:order val="1"/>
          <c:tx>
            <c:strRef>
              <c:f>'Talnagögn | Numerical Data'!$G$212</c:f>
              <c:strCache>
                <c:ptCount val="1"/>
                <c:pt idx="0">
                  <c:v>Grassland</c:v>
                </c:pt>
              </c:strCache>
            </c:strRef>
          </c:tx>
          <c:spPr>
            <a:ln w="19050" cap="rnd">
              <a:solidFill>
                <a:srgbClr val="66D7C7"/>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DE2C-4855-9203-85798EA6E8F8}"/>
            </c:ext>
          </c:extLst>
        </c:ser>
        <c:ser>
          <c:idx val="1"/>
          <c:order val="2"/>
          <c:tx>
            <c:strRef>
              <c:f>'Talnagögn | Numerical Data'!$G$211</c:f>
              <c:strCache>
                <c:ptCount val="1"/>
                <c:pt idx="0">
                  <c:v>Cropland</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DE2C-4855-9203-85798EA6E8F8}"/>
            </c:ext>
          </c:extLst>
        </c:ser>
        <c:ser>
          <c:idx val="3"/>
          <c:order val="3"/>
          <c:tx>
            <c:strRef>
              <c:f>'Talnagögn | Numerical Data'!$G$213</c:f>
              <c:strCache>
                <c:ptCount val="1"/>
                <c:pt idx="0">
                  <c:v>Wetlands</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DE2C-4855-9203-85798EA6E8F8}"/>
            </c:ext>
          </c:extLst>
        </c:ser>
        <c:ser>
          <c:idx val="5"/>
          <c:order val="4"/>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DE2C-4855-9203-85798EA6E8F8}"/>
            </c:ext>
          </c:extLst>
        </c:ser>
        <c:ser>
          <c:idx val="4"/>
          <c:order val="5"/>
          <c:tx>
            <c:v>Forestry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smooth val="0"/>
          <c:extLst>
            <c:ext xmlns:c16="http://schemas.microsoft.com/office/drawing/2014/chart" uri="{C3380CC4-5D6E-409C-BE32-E72D297353CC}">
              <c16:uniqueId val="{00000005-DE2C-4855-9203-85798EA6E8F8}"/>
            </c:ext>
          </c:extLst>
        </c:ser>
        <c:ser>
          <c:idx val="7"/>
          <c:order val="6"/>
          <c:tx>
            <c:v>Mólendi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smooth val="0"/>
          <c:extLst>
            <c:ext xmlns:c16="http://schemas.microsoft.com/office/drawing/2014/chart" uri="{C3380CC4-5D6E-409C-BE32-E72D297353CC}">
              <c16:uniqueId val="{00000006-DE2C-4855-9203-85798EA6E8F8}"/>
            </c:ext>
          </c:extLst>
        </c:ser>
        <c:ser>
          <c:idx val="6"/>
          <c:order val="7"/>
          <c:tx>
            <c:v>Ræktað land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smooth val="0"/>
          <c:extLst>
            <c:ext xmlns:c16="http://schemas.microsoft.com/office/drawing/2014/chart" uri="{C3380CC4-5D6E-409C-BE32-E72D297353CC}">
              <c16:uniqueId val="{00000007-DE2C-4855-9203-85798EA6E8F8}"/>
            </c:ext>
          </c:extLst>
        </c:ser>
        <c:ser>
          <c:idx val="8"/>
          <c:order val="8"/>
          <c:tx>
            <c:v>Votlendi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smooth val="0"/>
          <c:extLst>
            <c:ext xmlns:c16="http://schemas.microsoft.com/office/drawing/2014/chart" uri="{C3380CC4-5D6E-409C-BE32-E72D297353CC}">
              <c16:uniqueId val="{00000008-DE2C-4855-9203-85798EA6E8F8}"/>
            </c:ext>
          </c:extLst>
        </c:ser>
        <c:ser>
          <c:idx val="9"/>
          <c:order val="9"/>
          <c:tx>
            <c:v>Annað WEM</c:v>
          </c:tx>
          <c:spPr>
            <a:ln w="19050" cap="rnd">
              <a:solidFill>
                <a:schemeClr val="accent5">
                  <a:lumMod val="40000"/>
                  <a:lumOff val="6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smooth val="0"/>
          <c:extLst>
            <c:ext xmlns:c16="http://schemas.microsoft.com/office/drawing/2014/chart" uri="{C3380CC4-5D6E-409C-BE32-E72D297353CC}">
              <c16:uniqueId val="{00000009-DE2C-4855-9203-85798EA6E8F8}"/>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313205723631293"/>
          <c:y val="0.31503472222222223"/>
          <c:w val="0.1608635578583765"/>
          <c:h val="0.384629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3459856720825E-2"/>
          <c:y val="4.1157407407407406E-2"/>
          <c:w val="0.64292409193102062"/>
          <c:h val="0.87206851851851863"/>
        </c:manualLayout>
      </c:layout>
      <c:lineChart>
        <c:grouping val="standard"/>
        <c:varyColors val="0"/>
        <c:ser>
          <c:idx val="0"/>
          <c:order val="0"/>
          <c:tx>
            <c:strRef>
              <c:f>'Talnagögn | Numerical Data'!$E$230</c:f>
              <c:strCache>
                <c:ptCount val="1"/>
                <c:pt idx="0">
                  <c:v>Urðun úrgangs</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805A-4B6E-8064-5235720EC378}"/>
            </c:ext>
          </c:extLst>
        </c:ser>
        <c:ser>
          <c:idx val="3"/>
          <c:order val="1"/>
          <c:tx>
            <c:strRef>
              <c:f>'Talnagögn | Numerical Data'!$E$233</c:f>
              <c:strCache>
                <c:ptCount val="1"/>
                <c:pt idx="0">
                  <c:v>Meðhöndlun skólps</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805A-4B6E-8064-5235720EC378}"/>
            </c:ext>
          </c:extLst>
        </c:ser>
        <c:ser>
          <c:idx val="2"/>
          <c:order val="2"/>
          <c:tx>
            <c:strRef>
              <c:f>'Talnagögn | Numerical Data'!$E$232</c:f>
              <c:strCache>
                <c:ptCount val="1"/>
                <c:pt idx="0">
                  <c:v>Brennsla og opinn bruni</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805A-4B6E-8064-5235720EC378}"/>
            </c:ext>
          </c:extLst>
        </c:ser>
        <c:ser>
          <c:idx val="1"/>
          <c:order val="3"/>
          <c:tx>
            <c:strRef>
              <c:f>'Talnagögn | Numerical Data'!$E$231</c:f>
              <c:strCache>
                <c:ptCount val="1"/>
                <c:pt idx="0">
                  <c:v>Jarðgerð</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805A-4B6E-8064-5235720EC378}"/>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tickLblSkip val="2"/>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mn-lt"/>
                  </a:rPr>
                  <a:t>Losun gróðurhúsalofttegunda (þús. tonn CO</a:t>
                </a:r>
                <a:r>
                  <a:rPr lang="en-US" sz="1100" b="0" i="0" u="none" strike="noStrike" kern="1200" baseline="-25000">
                    <a:solidFill>
                      <a:sysClr val="windowText" lastClr="000000"/>
                    </a:solidFill>
                    <a:latin typeface="+mn-lt"/>
                  </a:rPr>
                  <a:t>₂</a:t>
                </a:r>
                <a:r>
                  <a:rPr lang="en-US" sz="1000" b="0" i="0" u="none" strike="noStrike" kern="1200" baseline="0">
                    <a:solidFill>
                      <a:sysClr val="windowText" lastClr="000000"/>
                    </a:solidFill>
                    <a:latin typeface="+mn-lt"/>
                  </a:rPr>
                  <a:t>-íg.)</a:t>
                </a:r>
              </a:p>
            </c:rich>
          </c:tx>
          <c:layout>
            <c:manualLayout>
              <c:xMode val="edge"/>
              <c:yMode val="edge"/>
              <c:x val="0"/>
              <c:y val="0.160434027777777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7590579710144914"/>
          <c:y val="0.34908796296296291"/>
          <c:w val="0.21924167680358603"/>
          <c:h val="0.30182407407407408"/>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33336864282102E-2"/>
          <c:y val="3.2337962962962964E-2"/>
          <c:w val="0.6494461352657005"/>
          <c:h val="0.87500833333333339"/>
        </c:manualLayout>
      </c:layout>
      <c:barChart>
        <c:barDir val="col"/>
        <c:grouping val="stacked"/>
        <c:varyColors val="0"/>
        <c:ser>
          <c:idx val="0"/>
          <c:order val="0"/>
          <c:tx>
            <c:strRef>
              <c:f>'Talnagögn | Numerical Data'!$G$230</c:f>
              <c:strCache>
                <c:ptCount val="1"/>
                <c:pt idx="0">
                  <c:v>Solid Waste Disposal on Land</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extLst>
            <c:ext xmlns:c16="http://schemas.microsoft.com/office/drawing/2014/chart" uri="{C3380CC4-5D6E-409C-BE32-E72D297353CC}">
              <c16:uniqueId val="{00000000-2C1C-44DA-BF0F-AA0111DF6C91}"/>
            </c:ext>
          </c:extLst>
        </c:ser>
        <c:ser>
          <c:idx val="3"/>
          <c:order val="1"/>
          <c:tx>
            <c:strRef>
              <c:f>'Talnagögn | Numerical Data'!$G$233</c:f>
              <c:strCache>
                <c:ptCount val="1"/>
                <c:pt idx="0">
                  <c:v>Wastewater Treatment and Discharge</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extLst>
            <c:ext xmlns:c16="http://schemas.microsoft.com/office/drawing/2014/chart" uri="{C3380CC4-5D6E-409C-BE32-E72D297353CC}">
              <c16:uniqueId val="{00000001-2C1C-44DA-BF0F-AA0111DF6C91}"/>
            </c:ext>
          </c:extLst>
        </c:ser>
        <c:ser>
          <c:idx val="2"/>
          <c:order val="2"/>
          <c:tx>
            <c:strRef>
              <c:f>'Talnagögn | Numerical Data'!$G$232</c:f>
              <c:strCache>
                <c:ptCount val="1"/>
                <c:pt idx="0">
                  <c:v>Incineration and Open Burning</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extLst>
            <c:ext xmlns:c16="http://schemas.microsoft.com/office/drawing/2014/chart" uri="{C3380CC4-5D6E-409C-BE32-E72D297353CC}">
              <c16:uniqueId val="{00000002-2C1C-44DA-BF0F-AA0111DF6C91}"/>
            </c:ext>
          </c:extLst>
        </c:ser>
        <c:ser>
          <c:idx val="1"/>
          <c:order val="3"/>
          <c:tx>
            <c:strRef>
              <c:f>'Talnagögn | Numerical Data'!$G$231</c:f>
              <c:strCache>
                <c:ptCount val="1"/>
                <c:pt idx="0">
                  <c:v>Biological Treatment of Solid Waste</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extLst>
            <c:ext xmlns:c16="http://schemas.microsoft.com/office/drawing/2014/chart" uri="{C3380CC4-5D6E-409C-BE32-E72D297353CC}">
              <c16:uniqueId val="{00000003-2C1C-44DA-BF0F-AA0111DF6C91}"/>
            </c:ext>
          </c:extLst>
        </c:ser>
        <c:dLbls>
          <c:showLegendKey val="0"/>
          <c:showVal val="0"/>
          <c:showCatName val="0"/>
          <c:showSerName val="0"/>
          <c:showPercent val="0"/>
          <c:showBubbleSize val="0"/>
        </c:dLbls>
        <c:gapWidth val="150"/>
        <c:overlap val="100"/>
        <c:axId val="1227402936"/>
        <c:axId val="1227403296"/>
      </c:bar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9617127676199408E-3"/>
              <c:y val="9.61319444444444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3327077294685994"/>
          <c:y val="0.34320833333333334"/>
          <c:w val="0.26546871980676329"/>
          <c:h val="0.310643518518518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3459856720825E-2"/>
          <c:y val="4.1157407407407406E-2"/>
          <c:w val="0.63739830917874407"/>
          <c:h val="0.87206851851851863"/>
        </c:manualLayout>
      </c:layout>
      <c:lineChart>
        <c:grouping val="standard"/>
        <c:varyColors val="0"/>
        <c:ser>
          <c:idx val="0"/>
          <c:order val="0"/>
          <c:tx>
            <c:strRef>
              <c:f>'Talnagögn | Numerical Data'!$G$230</c:f>
              <c:strCache>
                <c:ptCount val="1"/>
                <c:pt idx="0">
                  <c:v>Solid Waste Disposal on 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6146-4E39-9187-7B10D648D822}"/>
            </c:ext>
          </c:extLst>
        </c:ser>
        <c:ser>
          <c:idx val="3"/>
          <c:order val="1"/>
          <c:tx>
            <c:strRef>
              <c:f>'Talnagögn | Numerical Data'!$G$233</c:f>
              <c:strCache>
                <c:ptCount val="1"/>
                <c:pt idx="0">
                  <c:v>Wastewater Treatment and Discharge</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6146-4E39-9187-7B10D648D822}"/>
            </c:ext>
          </c:extLst>
        </c:ser>
        <c:ser>
          <c:idx val="2"/>
          <c:order val="2"/>
          <c:tx>
            <c:strRef>
              <c:f>'Talnagögn | Numerical Data'!$G$232</c:f>
              <c:strCache>
                <c:ptCount val="1"/>
                <c:pt idx="0">
                  <c:v>Incineration and Open Burning</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6146-4E39-9187-7B10D648D822}"/>
            </c:ext>
          </c:extLst>
        </c:ser>
        <c:ser>
          <c:idx val="1"/>
          <c:order val="3"/>
          <c:tx>
            <c:strRef>
              <c:f>'Talnagögn | Numerical Data'!$G$231</c:f>
              <c:strCache>
                <c:ptCount val="1"/>
                <c:pt idx="0">
                  <c:v>Biological Treatment of Solid Waste</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6146-4E39-9187-7B10D648D822}"/>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60434027777777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1677264144243624"/>
          <c:y val="0.34908796296296291"/>
          <c:w val="0.2783930997777963"/>
          <c:h val="0.3018240740740740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102549541448E-2"/>
          <c:y val="3.8217592592592595E-2"/>
          <c:w val="0.64321968599033819"/>
          <c:h val="0.87500833333333339"/>
        </c:manualLayout>
      </c:layout>
      <c:lineChart>
        <c:grouping val="standard"/>
        <c:varyColors val="0"/>
        <c:ser>
          <c:idx val="0"/>
          <c:order val="0"/>
          <c:tx>
            <c:strRef>
              <c:f>'Talnagögn | Numerical Data'!$G$230</c:f>
              <c:strCache>
                <c:ptCount val="1"/>
                <c:pt idx="0">
                  <c:v>Solid Waste Disposal on Land</c:v>
                </c:pt>
              </c:strCache>
            </c:strRef>
          </c:tx>
          <c:spPr>
            <a:ln w="19050"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Data'!$I$230:$AX$230</c:f>
              <c:numCache>
                <c:formatCode>0</c:formatCode>
                <c:ptCount val="42"/>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5865-47C6-91BA-D7B0825A54DC}"/>
            </c:ext>
          </c:extLst>
        </c:ser>
        <c:ser>
          <c:idx val="3"/>
          <c:order val="1"/>
          <c:tx>
            <c:strRef>
              <c:f>'Talnagögn | Numerical Data'!$G$233</c:f>
              <c:strCache>
                <c:ptCount val="1"/>
                <c:pt idx="0">
                  <c:v>Wastewater Treatment and Discharge</c:v>
                </c:pt>
              </c:strCache>
            </c:strRef>
          </c:tx>
          <c:spPr>
            <a:ln w="19050" cap="rnd">
              <a:solidFill>
                <a:schemeClr val="accent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Data'!$I$233:$AX$233</c:f>
              <c:numCache>
                <c:formatCode>0</c:formatCode>
                <c:ptCount val="42"/>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5865-47C6-91BA-D7B0825A54DC}"/>
            </c:ext>
          </c:extLst>
        </c:ser>
        <c:ser>
          <c:idx val="2"/>
          <c:order val="2"/>
          <c:tx>
            <c:strRef>
              <c:f>'Talnagögn | Numerical Data'!$G$232</c:f>
              <c:strCache>
                <c:ptCount val="1"/>
                <c:pt idx="0">
                  <c:v>Incineration and Open Burning</c:v>
                </c:pt>
              </c:strCache>
            </c:strRef>
          </c:tx>
          <c:spPr>
            <a:ln w="19050" cap="rnd">
              <a:solidFill>
                <a:schemeClr val="accent5"/>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Data'!$I$232:$AX$232</c:f>
              <c:numCache>
                <c:formatCode>0</c:formatCode>
                <c:ptCount val="42"/>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5865-47C6-91BA-D7B0825A54DC}"/>
            </c:ext>
          </c:extLst>
        </c:ser>
        <c:ser>
          <c:idx val="1"/>
          <c:order val="3"/>
          <c:tx>
            <c:strRef>
              <c:f>'Talnagögn | Numerical Data'!$G$231</c:f>
              <c:strCache>
                <c:ptCount val="1"/>
                <c:pt idx="0">
                  <c:v>Biological Treatment of Solid Waste</c:v>
                </c:pt>
              </c:strCache>
            </c:strRef>
          </c:tx>
          <c:spPr>
            <a:ln w="19050" cap="rnd">
              <a:solidFill>
                <a:schemeClr val="tx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Data'!$I$231:$AX$231</c:f>
              <c:numCache>
                <c:formatCode>0</c:formatCode>
                <c:ptCount val="42"/>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5865-47C6-91BA-D7B0825A54DC}"/>
            </c:ext>
          </c:extLst>
        </c:ser>
        <c:ser>
          <c:idx val="7"/>
          <c:order val="4"/>
          <c:tx>
            <c:v>Urðun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Data'!$I$237:$BV$237</c:f>
              <c:numCache>
                <c:formatCode>0</c:formatCode>
                <c:ptCount val="66"/>
                <c:pt idx="35">
                  <c:v>185.03247377735417</c:v>
                </c:pt>
                <c:pt idx="36">
                  <c:v>171.31904905630469</c:v>
                </c:pt>
                <c:pt idx="37">
                  <c:v>158.84251370288135</c:v>
                </c:pt>
                <c:pt idx="38">
                  <c:v>147.55225632502373</c:v>
                </c:pt>
                <c:pt idx="39">
                  <c:v>132.55179549482176</c:v>
                </c:pt>
                <c:pt idx="40">
                  <c:v>119.76810307975666</c:v>
                </c:pt>
                <c:pt idx="41">
                  <c:v>108.86960495124578</c:v>
                </c:pt>
                <c:pt idx="42">
                  <c:v>99.208261775340873</c:v>
                </c:pt>
                <c:pt idx="43">
                  <c:v>90.65056432607156</c:v>
                </c:pt>
                <c:pt idx="44">
                  <c:v>82.772328587101725</c:v>
                </c:pt>
                <c:pt idx="45">
                  <c:v>75.996575943509157</c:v>
                </c:pt>
                <c:pt idx="46">
                  <c:v>70.16803013532919</c:v>
                </c:pt>
                <c:pt idx="47">
                  <c:v>65.26977570881796</c:v>
                </c:pt>
                <c:pt idx="48">
                  <c:v>61.196245454932786</c:v>
                </c:pt>
                <c:pt idx="49">
                  <c:v>56.419679366036917</c:v>
                </c:pt>
                <c:pt idx="50">
                  <c:v>51.982755790689254</c:v>
                </c:pt>
                <c:pt idx="51">
                  <c:v>48.009192387623116</c:v>
                </c:pt>
                <c:pt idx="52">
                  <c:v>44.441106989772869</c:v>
                </c:pt>
                <c:pt idx="53">
                  <c:v>41.229045868042888</c:v>
                </c:pt>
                <c:pt idx="54">
                  <c:v>38.330654757061637</c:v>
                </c:pt>
                <c:pt idx="55">
                  <c:v>35.709567280563412</c:v>
                </c:pt>
                <c:pt idx="56">
                  <c:v>33.33447461794875</c:v>
                </c:pt>
                <c:pt idx="57">
                  <c:v>31.178346313864854</c:v>
                </c:pt>
                <c:pt idx="58">
                  <c:v>29.217777173448376</c:v>
                </c:pt>
                <c:pt idx="59">
                  <c:v>27.432439379004055</c:v>
                </c:pt>
                <c:pt idx="60">
                  <c:v>25.80462245219449</c:v>
                </c:pt>
                <c:pt idx="61">
                  <c:v>24.318846588025547</c:v>
                </c:pt>
                <c:pt idx="62">
                  <c:v>22.961537301747502</c:v>
                </c:pt>
                <c:pt idx="63">
                  <c:v>21.720751339318248</c:v>
                </c:pt>
                <c:pt idx="64">
                  <c:v>20.585945474521356</c:v>
                </c:pt>
                <c:pt idx="65">
                  <c:v>19.547781207924992</c:v>
                </c:pt>
              </c:numCache>
            </c:numRef>
          </c:val>
          <c:smooth val="0"/>
          <c:extLst>
            <c:ext xmlns:c16="http://schemas.microsoft.com/office/drawing/2014/chart" uri="{C3380CC4-5D6E-409C-BE32-E72D297353CC}">
              <c16:uniqueId val="{00000004-5865-47C6-91BA-D7B0825A54DC}"/>
            </c:ext>
          </c:extLst>
        </c:ser>
        <c:ser>
          <c:idx val="8"/>
          <c:order val="5"/>
          <c:tx>
            <c:v>Jarðgerð WEM</c:v>
          </c:tx>
          <c:spPr>
            <a:ln w="19050" cap="rnd">
              <a:solidFill>
                <a:schemeClr val="tx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Data'!$I$238:$BV$238</c:f>
              <c:numCache>
                <c:formatCode>0</c:formatCode>
                <c:ptCount val="66"/>
                <c:pt idx="35">
                  <c:v>6.035782317557894</c:v>
                </c:pt>
                <c:pt idx="36" formatCode="0.0">
                  <c:v>6.2401543558118107</c:v>
                </c:pt>
                <c:pt idx="37" formatCode="0.0">
                  <c:v>6.4435841255561987</c:v>
                </c:pt>
                <c:pt idx="38" formatCode="0.0">
                  <c:v>6.6470138953005868</c:v>
                </c:pt>
                <c:pt idx="39" formatCode="0.0">
                  <c:v>6.850443665044974</c:v>
                </c:pt>
                <c:pt idx="40" formatCode="0.0">
                  <c:v>7.053873434789363</c:v>
                </c:pt>
                <c:pt idx="41" formatCode="0.0">
                  <c:v>7.1951823780878632</c:v>
                </c:pt>
                <c:pt idx="42" formatCode="0.0">
                  <c:v>7.3364913213863634</c:v>
                </c:pt>
                <c:pt idx="43" formatCode="0.0">
                  <c:v>7.4778002646848618</c:v>
                </c:pt>
                <c:pt idx="44" formatCode="0.0">
                  <c:v>7.6191092079833611</c:v>
                </c:pt>
                <c:pt idx="45" formatCode="0.0">
                  <c:v>7.7604181512818613</c:v>
                </c:pt>
                <c:pt idx="46" formatCode="0.0">
                  <c:v>7.9017270945803606</c:v>
                </c:pt>
                <c:pt idx="47" formatCode="0.0">
                  <c:v>8.0430360378788599</c:v>
                </c:pt>
                <c:pt idx="48" formatCode="0.0">
                  <c:v>8.1843449811773592</c:v>
                </c:pt>
                <c:pt idx="49" formatCode="0.0">
                  <c:v>8.3256539244758567</c:v>
                </c:pt>
                <c:pt idx="50" formatCode="0.0">
                  <c:v>8.4669628677743578</c:v>
                </c:pt>
                <c:pt idx="51" formatCode="0.0">
                  <c:v>8.6082718110728571</c:v>
                </c:pt>
                <c:pt idx="52" formatCode="0.0">
                  <c:v>8.7495807543713564</c:v>
                </c:pt>
                <c:pt idx="53" formatCode="0.0">
                  <c:v>8.8908896976698557</c:v>
                </c:pt>
                <c:pt idx="54" formatCode="0.0">
                  <c:v>9.0321986409683532</c:v>
                </c:pt>
                <c:pt idx="55" formatCode="0.0">
                  <c:v>9.1735075842668543</c:v>
                </c:pt>
                <c:pt idx="56" formatCode="0.0">
                  <c:v>9.3148165275653536</c:v>
                </c:pt>
                <c:pt idx="57" formatCode="0.0">
                  <c:v>9.4561254708638529</c:v>
                </c:pt>
                <c:pt idx="58" formatCode="0.0">
                  <c:v>9.5974344141623522</c:v>
                </c:pt>
                <c:pt idx="59" formatCode="0.0">
                  <c:v>9.7387433574608515</c:v>
                </c:pt>
                <c:pt idx="60" formatCode="0.0">
                  <c:v>9.8800523007593508</c:v>
                </c:pt>
                <c:pt idx="61" formatCode="0.0">
                  <c:v>10.021361244057852</c:v>
                </c:pt>
                <c:pt idx="62" formatCode="0.0">
                  <c:v>10.162670187356349</c:v>
                </c:pt>
                <c:pt idx="63" formatCode="0.0">
                  <c:v>10.30397913065485</c:v>
                </c:pt>
                <c:pt idx="64" formatCode="0.0">
                  <c:v>10.445288073953348</c:v>
                </c:pt>
                <c:pt idx="65" formatCode="0.0">
                  <c:v>10.586597017251847</c:v>
                </c:pt>
              </c:numCache>
            </c:numRef>
          </c:val>
          <c:smooth val="0"/>
          <c:extLst>
            <c:ext xmlns:c16="http://schemas.microsoft.com/office/drawing/2014/chart" uri="{C3380CC4-5D6E-409C-BE32-E72D297353CC}">
              <c16:uniqueId val="{00000005-5865-47C6-91BA-D7B0825A54DC}"/>
            </c:ext>
          </c:extLst>
        </c:ser>
        <c:ser>
          <c:idx val="9"/>
          <c:order val="6"/>
          <c:tx>
            <c:v>Brennsla WEM</c:v>
          </c:tx>
          <c:spPr>
            <a:ln w="19050" cap="rnd">
              <a:solidFill>
                <a:schemeClr val="accent5"/>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Data'!$I$239:$BV$239</c:f>
              <c:numCache>
                <c:formatCode>0</c:formatCode>
                <c:ptCount val="66"/>
                <c:pt idx="35">
                  <c:v>7.4483956660185804</c:v>
                </c:pt>
                <c:pt idx="36" formatCode="0.0">
                  <c:v>7.0743651773084011</c:v>
                </c:pt>
                <c:pt idx="37" formatCode="0.0">
                  <c:v>7.1590596462787062</c:v>
                </c:pt>
                <c:pt idx="38" formatCode="0.0">
                  <c:v>7.1769663168528144</c:v>
                </c:pt>
                <c:pt idx="39" formatCode="0.0">
                  <c:v>7.180701573118311</c:v>
                </c:pt>
                <c:pt idx="40" formatCode="0.0">
                  <c:v>7.1814785324049328</c:v>
                </c:pt>
                <c:pt idx="41" formatCode="0.0">
                  <c:v>7.1816400502325877</c:v>
                </c:pt>
                <c:pt idx="42" formatCode="0.0">
                  <c:v>9.6765662849523366</c:v>
                </c:pt>
                <c:pt idx="43" formatCode="0.0">
                  <c:v>16.610077861832693</c:v>
                </c:pt>
                <c:pt idx="44" formatCode="0.0">
                  <c:v>16.610077861832693</c:v>
                </c:pt>
                <c:pt idx="45" formatCode="0.0">
                  <c:v>16.610077861832693</c:v>
                </c:pt>
                <c:pt idx="46" formatCode="0.0">
                  <c:v>16.610077861832693</c:v>
                </c:pt>
                <c:pt idx="47" formatCode="0.0">
                  <c:v>16.610077861832693</c:v>
                </c:pt>
                <c:pt idx="48" formatCode="0.0">
                  <c:v>16.610077861832693</c:v>
                </c:pt>
                <c:pt idx="49" formatCode="0.0">
                  <c:v>16.610077861832693</c:v>
                </c:pt>
                <c:pt idx="50" formatCode="0.0">
                  <c:v>16.610077861832693</c:v>
                </c:pt>
                <c:pt idx="51" formatCode="0.0">
                  <c:v>16.610077861832693</c:v>
                </c:pt>
                <c:pt idx="52" formatCode="0.0">
                  <c:v>16.610077861832693</c:v>
                </c:pt>
                <c:pt idx="53" formatCode="0.0">
                  <c:v>16.610077861832693</c:v>
                </c:pt>
                <c:pt idx="54" formatCode="0.0">
                  <c:v>16.610077861832693</c:v>
                </c:pt>
                <c:pt idx="55" formatCode="0.0">
                  <c:v>16.610077861832693</c:v>
                </c:pt>
                <c:pt idx="56" formatCode="0.0">
                  <c:v>16.610077861832693</c:v>
                </c:pt>
                <c:pt idx="57" formatCode="0.0">
                  <c:v>16.610077861832693</c:v>
                </c:pt>
                <c:pt idx="58" formatCode="0.0">
                  <c:v>16.610077861832693</c:v>
                </c:pt>
                <c:pt idx="59" formatCode="0.0">
                  <c:v>16.610077861832693</c:v>
                </c:pt>
                <c:pt idx="60" formatCode="0.0">
                  <c:v>16.610077861832693</c:v>
                </c:pt>
                <c:pt idx="61" formatCode="0.0">
                  <c:v>16.610077861832693</c:v>
                </c:pt>
                <c:pt idx="62" formatCode="0.0">
                  <c:v>16.610077861832693</c:v>
                </c:pt>
                <c:pt idx="63" formatCode="0.0">
                  <c:v>16.610077861832693</c:v>
                </c:pt>
                <c:pt idx="64" formatCode="0.0">
                  <c:v>16.610077861832693</c:v>
                </c:pt>
                <c:pt idx="65" formatCode="0.0">
                  <c:v>16.610077861832693</c:v>
                </c:pt>
              </c:numCache>
            </c:numRef>
          </c:val>
          <c:smooth val="0"/>
          <c:extLst>
            <c:ext xmlns:c16="http://schemas.microsoft.com/office/drawing/2014/chart" uri="{C3380CC4-5D6E-409C-BE32-E72D297353CC}">
              <c16:uniqueId val="{00000006-5865-47C6-91BA-D7B0825A54DC}"/>
            </c:ext>
          </c:extLst>
        </c:ser>
        <c:ser>
          <c:idx val="10"/>
          <c:order val="7"/>
          <c:tx>
            <c:v>Fráveita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Data'!$I$240:$BV$240</c:f>
              <c:numCache>
                <c:formatCode>0</c:formatCode>
                <c:ptCount val="66"/>
                <c:pt idx="35">
                  <c:v>24.075251834056697</c:v>
                </c:pt>
                <c:pt idx="36">
                  <c:v>23.525281683721055</c:v>
                </c:pt>
                <c:pt idx="37">
                  <c:v>23.923852610944948</c:v>
                </c:pt>
                <c:pt idx="38">
                  <c:v>24.21387324469984</c:v>
                </c:pt>
                <c:pt idx="39">
                  <c:v>24.500377139176024</c:v>
                </c:pt>
                <c:pt idx="40">
                  <c:v>24.78441973689533</c:v>
                </c:pt>
                <c:pt idx="41">
                  <c:v>25.04745161259823</c:v>
                </c:pt>
                <c:pt idx="42">
                  <c:v>25.304634875155571</c:v>
                </c:pt>
                <c:pt idx="43">
                  <c:v>25.553211755397385</c:v>
                </c:pt>
                <c:pt idx="44">
                  <c:v>25.796484767021049</c:v>
                </c:pt>
                <c:pt idx="45">
                  <c:v>26.034896514955093</c:v>
                </c:pt>
                <c:pt idx="46">
                  <c:v>26.267834161606181</c:v>
                </c:pt>
                <c:pt idx="47">
                  <c:v>26.493731566458017</c:v>
                </c:pt>
                <c:pt idx="48">
                  <c:v>26.712180171115058</c:v>
                </c:pt>
                <c:pt idx="49">
                  <c:v>26.923622580505807</c:v>
                </c:pt>
                <c:pt idx="50">
                  <c:v>27.122713488955114</c:v>
                </c:pt>
                <c:pt idx="51">
                  <c:v>27.308744760688896</c:v>
                </c:pt>
                <c:pt idx="52">
                  <c:v>27.489068851415446</c:v>
                </c:pt>
                <c:pt idx="53">
                  <c:v>27.65997468904181</c:v>
                </c:pt>
                <c:pt idx="54">
                  <c:v>27.823505065545774</c:v>
                </c:pt>
                <c:pt idx="55">
                  <c:v>27.97850239880659</c:v>
                </c:pt>
                <c:pt idx="56">
                  <c:v>28.126839248137209</c:v>
                </c:pt>
                <c:pt idx="57">
                  <c:v>28.267153752219123</c:v>
                </c:pt>
                <c:pt idx="58">
                  <c:v>28.386337995861666</c:v>
                </c:pt>
                <c:pt idx="59">
                  <c:v>28.500734314886969</c:v>
                </c:pt>
                <c:pt idx="60">
                  <c:v>28.608504196515042</c:v>
                </c:pt>
                <c:pt idx="61">
                  <c:v>28.705844645555104</c:v>
                </c:pt>
                <c:pt idx="62">
                  <c:v>28.794697762809534</c:v>
                </c:pt>
                <c:pt idx="63">
                  <c:v>28.878297968909813</c:v>
                </c:pt>
                <c:pt idx="64">
                  <c:v>28.957326194515183</c:v>
                </c:pt>
                <c:pt idx="65">
                  <c:v>29.0239517370442</c:v>
                </c:pt>
              </c:numCache>
            </c:numRef>
          </c:val>
          <c:smooth val="0"/>
          <c:extLst>
            <c:ext xmlns:c16="http://schemas.microsoft.com/office/drawing/2014/chart" uri="{C3380CC4-5D6E-409C-BE32-E72D297353CC}">
              <c16:uniqueId val="{00000007-5865-47C6-91BA-D7B0825A54DC}"/>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max val="4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3408224637681163"/>
          <c:y val="0.34614814814814815"/>
          <c:w val="0.26591775362318848"/>
          <c:h val="0.2988842592592592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8752087994351E-2"/>
          <c:y val="4.7037037037037037E-2"/>
          <c:w val="0.62655225583216123"/>
          <c:h val="0.88088796296296301"/>
        </c:manualLayout>
      </c:layout>
      <c:lineChart>
        <c:grouping val="standard"/>
        <c:varyColors val="0"/>
        <c:ser>
          <c:idx val="0"/>
          <c:order val="0"/>
          <c:tx>
            <c:strRef>
              <c:f>'Talnagögn | Numerical Data'!$G$248</c:f>
              <c:strCache>
                <c:ptCount val="1"/>
                <c:pt idx="0">
                  <c:v>International Aviation</c:v>
                </c:pt>
              </c:strCache>
            </c:strRef>
          </c:tx>
          <c:spPr>
            <a:ln w="19050" cap="rnd">
              <a:solidFill>
                <a:schemeClr val="bg1">
                  <a:lumMod val="5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975E-4681-B4CF-0EC9CB5E455D}"/>
            </c:ext>
          </c:extLst>
        </c:ser>
        <c:ser>
          <c:idx val="1"/>
          <c:order val="1"/>
          <c:tx>
            <c:strRef>
              <c:f>'Talnagögn | Numerical Data'!$G$249</c:f>
              <c:strCache>
                <c:ptCount val="1"/>
                <c:pt idx="0">
                  <c:v>International Navigation</c:v>
                </c:pt>
              </c:strCache>
            </c:strRef>
          </c:tx>
          <c:spPr>
            <a:ln w="19050" cap="rnd">
              <a:solidFill>
                <a:schemeClr val="bg1">
                  <a:lumMod val="75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975E-4681-B4CF-0EC9CB5E455D}"/>
            </c:ext>
          </c:extLst>
        </c:ser>
        <c:dLbls>
          <c:showLegendKey val="0"/>
          <c:showVal val="0"/>
          <c:showCatName val="0"/>
          <c:showSerName val="0"/>
          <c:showPercent val="0"/>
          <c:showBubbleSize val="0"/>
        </c:dLbls>
        <c:smooth val="0"/>
        <c:axId val="1010444872"/>
        <c:axId val="1010443072"/>
      </c:line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5855732720504161E-4"/>
              <c:y val="0.254368287037037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700217672183589"/>
          <c:y val="0.40543518518518518"/>
          <c:w val="0.23046908805377703"/>
          <c:h val="0.1685509259259259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47" Type="http://schemas.openxmlformats.org/officeDocument/2006/relationships/chart" Target="../charts/chart47.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26" Type="http://schemas.openxmlformats.org/officeDocument/2006/relationships/chart" Target="../charts/chart74.xml"/><Relationship Id="rId21" Type="http://schemas.openxmlformats.org/officeDocument/2006/relationships/chart" Target="../charts/chart69.xml"/><Relationship Id="rId42" Type="http://schemas.openxmlformats.org/officeDocument/2006/relationships/chart" Target="../charts/chart90.xml"/><Relationship Id="rId47" Type="http://schemas.openxmlformats.org/officeDocument/2006/relationships/chart" Target="../charts/chart95.xml"/><Relationship Id="rId63" Type="http://schemas.openxmlformats.org/officeDocument/2006/relationships/chart" Target="../charts/chart111.xml"/><Relationship Id="rId68" Type="http://schemas.openxmlformats.org/officeDocument/2006/relationships/chart" Target="../charts/chart116.xml"/><Relationship Id="rId84" Type="http://schemas.openxmlformats.org/officeDocument/2006/relationships/chart" Target="../charts/chart132.xml"/><Relationship Id="rId89" Type="http://schemas.openxmlformats.org/officeDocument/2006/relationships/chart" Target="../charts/chart137.xml"/><Relationship Id="rId7" Type="http://schemas.openxmlformats.org/officeDocument/2006/relationships/chart" Target="../charts/chart55.xml"/><Relationship Id="rId71" Type="http://schemas.openxmlformats.org/officeDocument/2006/relationships/chart" Target="../charts/chart119.xml"/><Relationship Id="rId92" Type="http://schemas.openxmlformats.org/officeDocument/2006/relationships/chart" Target="../charts/chart140.xml"/><Relationship Id="rId2" Type="http://schemas.openxmlformats.org/officeDocument/2006/relationships/chart" Target="../charts/chart50.xml"/><Relationship Id="rId16" Type="http://schemas.openxmlformats.org/officeDocument/2006/relationships/chart" Target="../charts/chart64.xml"/><Relationship Id="rId29" Type="http://schemas.openxmlformats.org/officeDocument/2006/relationships/chart" Target="../charts/chart77.xml"/><Relationship Id="rId11" Type="http://schemas.openxmlformats.org/officeDocument/2006/relationships/chart" Target="../charts/chart59.xml"/><Relationship Id="rId24" Type="http://schemas.openxmlformats.org/officeDocument/2006/relationships/chart" Target="../charts/chart72.xml"/><Relationship Id="rId32" Type="http://schemas.openxmlformats.org/officeDocument/2006/relationships/chart" Target="../charts/chart80.xml"/><Relationship Id="rId37" Type="http://schemas.openxmlformats.org/officeDocument/2006/relationships/chart" Target="../charts/chart85.xml"/><Relationship Id="rId40" Type="http://schemas.openxmlformats.org/officeDocument/2006/relationships/chart" Target="../charts/chart88.xml"/><Relationship Id="rId45" Type="http://schemas.openxmlformats.org/officeDocument/2006/relationships/chart" Target="../charts/chart93.xml"/><Relationship Id="rId53" Type="http://schemas.openxmlformats.org/officeDocument/2006/relationships/chart" Target="../charts/chart101.xml"/><Relationship Id="rId58" Type="http://schemas.openxmlformats.org/officeDocument/2006/relationships/chart" Target="../charts/chart106.xml"/><Relationship Id="rId66" Type="http://schemas.openxmlformats.org/officeDocument/2006/relationships/chart" Target="../charts/chart114.xml"/><Relationship Id="rId74" Type="http://schemas.openxmlformats.org/officeDocument/2006/relationships/chart" Target="../charts/chart122.xml"/><Relationship Id="rId79" Type="http://schemas.openxmlformats.org/officeDocument/2006/relationships/chart" Target="../charts/chart127.xml"/><Relationship Id="rId87" Type="http://schemas.openxmlformats.org/officeDocument/2006/relationships/chart" Target="../charts/chart135.xml"/><Relationship Id="rId102" Type="http://schemas.openxmlformats.org/officeDocument/2006/relationships/chart" Target="../charts/chart150.xml"/><Relationship Id="rId5" Type="http://schemas.openxmlformats.org/officeDocument/2006/relationships/chart" Target="../charts/chart53.xml"/><Relationship Id="rId61" Type="http://schemas.openxmlformats.org/officeDocument/2006/relationships/chart" Target="../charts/chart109.xml"/><Relationship Id="rId82" Type="http://schemas.openxmlformats.org/officeDocument/2006/relationships/chart" Target="../charts/chart130.xml"/><Relationship Id="rId90" Type="http://schemas.openxmlformats.org/officeDocument/2006/relationships/chart" Target="../charts/chart138.xml"/><Relationship Id="rId95" Type="http://schemas.openxmlformats.org/officeDocument/2006/relationships/chart" Target="../charts/chart143.xml"/><Relationship Id="rId19" Type="http://schemas.openxmlformats.org/officeDocument/2006/relationships/chart" Target="../charts/chart67.xml"/><Relationship Id="rId14" Type="http://schemas.openxmlformats.org/officeDocument/2006/relationships/chart" Target="../charts/chart62.xml"/><Relationship Id="rId22" Type="http://schemas.openxmlformats.org/officeDocument/2006/relationships/chart" Target="../charts/chart70.xml"/><Relationship Id="rId27" Type="http://schemas.openxmlformats.org/officeDocument/2006/relationships/chart" Target="../charts/chart75.xml"/><Relationship Id="rId30" Type="http://schemas.openxmlformats.org/officeDocument/2006/relationships/chart" Target="../charts/chart78.xml"/><Relationship Id="rId35" Type="http://schemas.openxmlformats.org/officeDocument/2006/relationships/chart" Target="../charts/chart83.xml"/><Relationship Id="rId43" Type="http://schemas.openxmlformats.org/officeDocument/2006/relationships/chart" Target="../charts/chart91.xml"/><Relationship Id="rId48" Type="http://schemas.openxmlformats.org/officeDocument/2006/relationships/chart" Target="../charts/chart96.xml"/><Relationship Id="rId56" Type="http://schemas.openxmlformats.org/officeDocument/2006/relationships/chart" Target="../charts/chart104.xml"/><Relationship Id="rId64" Type="http://schemas.openxmlformats.org/officeDocument/2006/relationships/chart" Target="../charts/chart112.xml"/><Relationship Id="rId69" Type="http://schemas.openxmlformats.org/officeDocument/2006/relationships/chart" Target="../charts/chart117.xml"/><Relationship Id="rId77" Type="http://schemas.openxmlformats.org/officeDocument/2006/relationships/chart" Target="../charts/chart125.xml"/><Relationship Id="rId100" Type="http://schemas.openxmlformats.org/officeDocument/2006/relationships/chart" Target="../charts/chart148.xml"/><Relationship Id="rId105" Type="http://schemas.openxmlformats.org/officeDocument/2006/relationships/chart" Target="../charts/chart153.xml"/><Relationship Id="rId8" Type="http://schemas.openxmlformats.org/officeDocument/2006/relationships/chart" Target="../charts/chart56.xml"/><Relationship Id="rId51" Type="http://schemas.openxmlformats.org/officeDocument/2006/relationships/chart" Target="../charts/chart99.xml"/><Relationship Id="rId72" Type="http://schemas.openxmlformats.org/officeDocument/2006/relationships/chart" Target="../charts/chart120.xml"/><Relationship Id="rId80" Type="http://schemas.openxmlformats.org/officeDocument/2006/relationships/chart" Target="../charts/chart128.xml"/><Relationship Id="rId85" Type="http://schemas.openxmlformats.org/officeDocument/2006/relationships/chart" Target="../charts/chart133.xml"/><Relationship Id="rId93" Type="http://schemas.openxmlformats.org/officeDocument/2006/relationships/chart" Target="../charts/chart141.xml"/><Relationship Id="rId98" Type="http://schemas.openxmlformats.org/officeDocument/2006/relationships/chart" Target="../charts/chart146.xml"/><Relationship Id="rId3" Type="http://schemas.openxmlformats.org/officeDocument/2006/relationships/chart" Target="../charts/chart51.xml"/><Relationship Id="rId12" Type="http://schemas.openxmlformats.org/officeDocument/2006/relationships/chart" Target="../charts/chart60.xml"/><Relationship Id="rId17" Type="http://schemas.openxmlformats.org/officeDocument/2006/relationships/chart" Target="../charts/chart65.xml"/><Relationship Id="rId25" Type="http://schemas.openxmlformats.org/officeDocument/2006/relationships/chart" Target="../charts/chart73.xml"/><Relationship Id="rId33" Type="http://schemas.openxmlformats.org/officeDocument/2006/relationships/chart" Target="../charts/chart81.xml"/><Relationship Id="rId38" Type="http://schemas.openxmlformats.org/officeDocument/2006/relationships/chart" Target="../charts/chart86.xml"/><Relationship Id="rId46" Type="http://schemas.openxmlformats.org/officeDocument/2006/relationships/chart" Target="../charts/chart94.xml"/><Relationship Id="rId59" Type="http://schemas.openxmlformats.org/officeDocument/2006/relationships/chart" Target="../charts/chart107.xml"/><Relationship Id="rId67" Type="http://schemas.openxmlformats.org/officeDocument/2006/relationships/chart" Target="../charts/chart115.xml"/><Relationship Id="rId103" Type="http://schemas.openxmlformats.org/officeDocument/2006/relationships/chart" Target="../charts/chart151.xml"/><Relationship Id="rId20" Type="http://schemas.openxmlformats.org/officeDocument/2006/relationships/chart" Target="../charts/chart68.xml"/><Relationship Id="rId41" Type="http://schemas.openxmlformats.org/officeDocument/2006/relationships/chart" Target="../charts/chart89.xml"/><Relationship Id="rId54" Type="http://schemas.openxmlformats.org/officeDocument/2006/relationships/chart" Target="../charts/chart102.xml"/><Relationship Id="rId62" Type="http://schemas.openxmlformats.org/officeDocument/2006/relationships/chart" Target="../charts/chart110.xml"/><Relationship Id="rId70" Type="http://schemas.openxmlformats.org/officeDocument/2006/relationships/chart" Target="../charts/chart118.xml"/><Relationship Id="rId75" Type="http://schemas.openxmlformats.org/officeDocument/2006/relationships/chart" Target="../charts/chart123.xml"/><Relationship Id="rId83" Type="http://schemas.openxmlformats.org/officeDocument/2006/relationships/chart" Target="../charts/chart131.xml"/><Relationship Id="rId88" Type="http://schemas.openxmlformats.org/officeDocument/2006/relationships/chart" Target="../charts/chart136.xml"/><Relationship Id="rId91" Type="http://schemas.openxmlformats.org/officeDocument/2006/relationships/chart" Target="../charts/chart139.xml"/><Relationship Id="rId96" Type="http://schemas.openxmlformats.org/officeDocument/2006/relationships/chart" Target="../charts/chart144.xml"/><Relationship Id="rId1" Type="http://schemas.openxmlformats.org/officeDocument/2006/relationships/chart" Target="../charts/chart49.xml"/><Relationship Id="rId6" Type="http://schemas.openxmlformats.org/officeDocument/2006/relationships/chart" Target="../charts/chart54.xml"/><Relationship Id="rId15" Type="http://schemas.openxmlformats.org/officeDocument/2006/relationships/chart" Target="../charts/chart63.xml"/><Relationship Id="rId23" Type="http://schemas.openxmlformats.org/officeDocument/2006/relationships/chart" Target="../charts/chart71.xml"/><Relationship Id="rId28" Type="http://schemas.openxmlformats.org/officeDocument/2006/relationships/chart" Target="../charts/chart76.xml"/><Relationship Id="rId36" Type="http://schemas.openxmlformats.org/officeDocument/2006/relationships/chart" Target="../charts/chart84.xml"/><Relationship Id="rId49" Type="http://schemas.openxmlformats.org/officeDocument/2006/relationships/chart" Target="../charts/chart97.xml"/><Relationship Id="rId57" Type="http://schemas.openxmlformats.org/officeDocument/2006/relationships/chart" Target="../charts/chart105.xml"/><Relationship Id="rId106" Type="http://schemas.openxmlformats.org/officeDocument/2006/relationships/chart" Target="../charts/chart154.xml"/><Relationship Id="rId10" Type="http://schemas.openxmlformats.org/officeDocument/2006/relationships/chart" Target="../charts/chart58.xml"/><Relationship Id="rId31" Type="http://schemas.openxmlformats.org/officeDocument/2006/relationships/chart" Target="../charts/chart79.xml"/><Relationship Id="rId44" Type="http://schemas.openxmlformats.org/officeDocument/2006/relationships/chart" Target="../charts/chart92.xml"/><Relationship Id="rId52" Type="http://schemas.openxmlformats.org/officeDocument/2006/relationships/chart" Target="../charts/chart100.xml"/><Relationship Id="rId60" Type="http://schemas.openxmlformats.org/officeDocument/2006/relationships/chart" Target="../charts/chart108.xml"/><Relationship Id="rId65" Type="http://schemas.openxmlformats.org/officeDocument/2006/relationships/chart" Target="../charts/chart113.xml"/><Relationship Id="rId73" Type="http://schemas.openxmlformats.org/officeDocument/2006/relationships/chart" Target="../charts/chart121.xml"/><Relationship Id="rId78" Type="http://schemas.openxmlformats.org/officeDocument/2006/relationships/chart" Target="../charts/chart126.xml"/><Relationship Id="rId81" Type="http://schemas.openxmlformats.org/officeDocument/2006/relationships/chart" Target="../charts/chart129.xml"/><Relationship Id="rId86" Type="http://schemas.openxmlformats.org/officeDocument/2006/relationships/chart" Target="../charts/chart134.xml"/><Relationship Id="rId94" Type="http://schemas.openxmlformats.org/officeDocument/2006/relationships/chart" Target="../charts/chart142.xml"/><Relationship Id="rId99" Type="http://schemas.openxmlformats.org/officeDocument/2006/relationships/chart" Target="../charts/chart147.xml"/><Relationship Id="rId101" Type="http://schemas.openxmlformats.org/officeDocument/2006/relationships/chart" Target="../charts/chart149.xml"/><Relationship Id="rId4" Type="http://schemas.openxmlformats.org/officeDocument/2006/relationships/chart" Target="../charts/chart52.xml"/><Relationship Id="rId9" Type="http://schemas.openxmlformats.org/officeDocument/2006/relationships/chart" Target="../charts/chart57.xml"/><Relationship Id="rId13" Type="http://schemas.openxmlformats.org/officeDocument/2006/relationships/chart" Target="../charts/chart61.xml"/><Relationship Id="rId18" Type="http://schemas.openxmlformats.org/officeDocument/2006/relationships/chart" Target="../charts/chart66.xml"/><Relationship Id="rId39" Type="http://schemas.openxmlformats.org/officeDocument/2006/relationships/chart" Target="../charts/chart87.xml"/><Relationship Id="rId34" Type="http://schemas.openxmlformats.org/officeDocument/2006/relationships/chart" Target="../charts/chart82.xml"/><Relationship Id="rId50" Type="http://schemas.openxmlformats.org/officeDocument/2006/relationships/chart" Target="../charts/chart98.xml"/><Relationship Id="rId55" Type="http://schemas.openxmlformats.org/officeDocument/2006/relationships/chart" Target="../charts/chart103.xml"/><Relationship Id="rId76" Type="http://schemas.openxmlformats.org/officeDocument/2006/relationships/chart" Target="../charts/chart124.xml"/><Relationship Id="rId97" Type="http://schemas.openxmlformats.org/officeDocument/2006/relationships/chart" Target="../charts/chart145.xml"/><Relationship Id="rId104" Type="http://schemas.openxmlformats.org/officeDocument/2006/relationships/chart" Target="../charts/chart152.xml"/></Relationships>
</file>

<file path=xl/drawings/_rels/drawing1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10.svg"/></Relationships>
</file>

<file path=xl/drawings/_rels/drawing25.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svg"/><Relationship Id="rId1" Type="http://schemas.openxmlformats.org/officeDocument/2006/relationships/image" Target="../media/image13.png"/><Relationship Id="rId4" Type="http://schemas.openxmlformats.org/officeDocument/2006/relationships/image" Target="../media/image16.svg"/></Relationships>
</file>

<file path=xl/drawings/_rels/drawing2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10.svg"/></Relationships>
</file>

<file path=xl/drawings/_rels/drawing28.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image" Target="../media/image20.svg"/></Relationships>
</file>

<file path=xl/drawings/_rels/drawing3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svg"/><Relationship Id="rId1" Type="http://schemas.openxmlformats.org/officeDocument/2006/relationships/image" Target="../media/image13.png"/><Relationship Id="rId4" Type="http://schemas.openxmlformats.org/officeDocument/2006/relationships/image" Target="../media/image16.svg"/></Relationships>
</file>

<file path=xl/drawings/_rels/drawing3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svg"/><Relationship Id="rId1" Type="http://schemas.openxmlformats.org/officeDocument/2006/relationships/image" Target="../media/image21.png"/><Relationship Id="rId4" Type="http://schemas.openxmlformats.org/officeDocument/2006/relationships/image" Target="../media/image24.svg"/></Relationships>
</file>

<file path=xl/drawings/_rels/drawing36.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svg"/><Relationship Id="rId1" Type="http://schemas.openxmlformats.org/officeDocument/2006/relationships/image" Target="../media/image21.png"/><Relationship Id="rId4" Type="http://schemas.openxmlformats.org/officeDocument/2006/relationships/image" Target="../media/image24.svg"/></Relationships>
</file>

<file path=xl/drawings/_rels/drawing38.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3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image" Target="../media/image20.svg"/></Relationships>
</file>

<file path=xl/drawings/drawing1.xml><?xml version="1.0" encoding="utf-8"?>
<xdr:wsDr xmlns:xdr="http://schemas.openxmlformats.org/drawingml/2006/spreadsheetDrawing" xmlns:a="http://schemas.openxmlformats.org/drawingml/2006/main">
  <xdr:twoCellAnchor editAs="oneCell">
    <xdr:from>
      <xdr:col>3</xdr:col>
      <xdr:colOff>239484</xdr:colOff>
      <xdr:row>43</xdr:row>
      <xdr:rowOff>0</xdr:rowOff>
    </xdr:from>
    <xdr:to>
      <xdr:col>10</xdr:col>
      <xdr:colOff>3287</xdr:colOff>
      <xdr:row>63</xdr:row>
      <xdr:rowOff>136620</xdr:rowOff>
    </xdr:to>
    <xdr:graphicFrame macro="">
      <xdr:nvGraphicFramePr>
        <xdr:cNvPr id="20" name="Chart 19">
          <a:extLst>
            <a:ext uri="{FF2B5EF4-FFF2-40B4-BE49-F238E27FC236}">
              <a16:creationId xmlns:a16="http://schemas.microsoft.com/office/drawing/2014/main" id="{A77ACD8F-EFEA-410B-B156-773BCD574B0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20</xdr:col>
      <xdr:colOff>0</xdr:colOff>
      <xdr:row>43</xdr:row>
      <xdr:rowOff>0</xdr:rowOff>
    </xdr:from>
    <xdr:to>
      <xdr:col>25</xdr:col>
      <xdr:colOff>439019</xdr:colOff>
      <xdr:row>63</xdr:row>
      <xdr:rowOff>136620</xdr:rowOff>
    </xdr:to>
    <xdr:graphicFrame macro="">
      <xdr:nvGraphicFramePr>
        <xdr:cNvPr id="53" name="Chart 52">
          <a:extLst>
            <a:ext uri="{FF2B5EF4-FFF2-40B4-BE49-F238E27FC236}">
              <a16:creationId xmlns:a16="http://schemas.microsoft.com/office/drawing/2014/main" id="{CA4E54E3-0A14-482A-ADB0-C30D5C26693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155</xdr:row>
      <xdr:rowOff>0</xdr:rowOff>
    </xdr:from>
    <xdr:to>
      <xdr:col>10</xdr:col>
      <xdr:colOff>12300</xdr:colOff>
      <xdr:row>175</xdr:row>
      <xdr:rowOff>60420</xdr:rowOff>
    </xdr:to>
    <xdr:graphicFrame macro="">
      <xdr:nvGraphicFramePr>
        <xdr:cNvPr id="102" name="Chart 101">
          <a:extLst>
            <a:ext uri="{FF2B5EF4-FFF2-40B4-BE49-F238E27FC236}">
              <a16:creationId xmlns:a16="http://schemas.microsoft.com/office/drawing/2014/main" id="{0D406476-CD89-4EE4-953E-624D358F05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19</xdr:col>
      <xdr:colOff>664027</xdr:colOff>
      <xdr:row>282</xdr:row>
      <xdr:rowOff>0</xdr:rowOff>
    </xdr:from>
    <xdr:to>
      <xdr:col>25</xdr:col>
      <xdr:colOff>398196</xdr:colOff>
      <xdr:row>302</xdr:row>
      <xdr:rowOff>60420</xdr:rowOff>
    </xdr:to>
    <xdr:graphicFrame macro="">
      <xdr:nvGraphicFramePr>
        <xdr:cNvPr id="115" name="Chart 114">
          <a:extLst>
            <a:ext uri="{FF2B5EF4-FFF2-40B4-BE49-F238E27FC236}">
              <a16:creationId xmlns:a16="http://schemas.microsoft.com/office/drawing/2014/main" id="{0907B007-F6CF-469D-9E11-5D5A5259B33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0</xdr:colOff>
      <xdr:row>306</xdr:row>
      <xdr:rowOff>0</xdr:rowOff>
    </xdr:from>
    <xdr:to>
      <xdr:col>10</xdr:col>
      <xdr:colOff>12300</xdr:colOff>
      <xdr:row>326</xdr:row>
      <xdr:rowOff>60420</xdr:rowOff>
    </xdr:to>
    <xdr:graphicFrame macro="">
      <xdr:nvGraphicFramePr>
        <xdr:cNvPr id="117" name="Chart 116">
          <a:extLst>
            <a:ext uri="{FF2B5EF4-FFF2-40B4-BE49-F238E27FC236}">
              <a16:creationId xmlns:a16="http://schemas.microsoft.com/office/drawing/2014/main" id="{A2394DDF-0AA5-4EE7-8182-56DCD9B16DD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10</xdr:col>
      <xdr:colOff>0</xdr:colOff>
      <xdr:row>306</xdr:row>
      <xdr:rowOff>0</xdr:rowOff>
    </xdr:from>
    <xdr:to>
      <xdr:col>15</xdr:col>
      <xdr:colOff>36249</xdr:colOff>
      <xdr:row>326</xdr:row>
      <xdr:rowOff>60420</xdr:rowOff>
    </xdr:to>
    <xdr:graphicFrame macro="">
      <xdr:nvGraphicFramePr>
        <xdr:cNvPr id="118" name="Chart 117">
          <a:extLst>
            <a:ext uri="{FF2B5EF4-FFF2-40B4-BE49-F238E27FC236}">
              <a16:creationId xmlns:a16="http://schemas.microsoft.com/office/drawing/2014/main" id="{13351A01-EB9B-41FA-88F0-70B97BADFC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20</xdr:col>
      <xdr:colOff>0</xdr:colOff>
      <xdr:row>329</xdr:row>
      <xdr:rowOff>0</xdr:rowOff>
    </xdr:from>
    <xdr:ext cx="8280000" cy="4320000"/>
    <xdr:graphicFrame macro="">
      <xdr:nvGraphicFramePr>
        <xdr:cNvPr id="123" name="Chart 122">
          <a:extLst>
            <a:ext uri="{FF2B5EF4-FFF2-40B4-BE49-F238E27FC236}">
              <a16:creationId xmlns:a16="http://schemas.microsoft.com/office/drawing/2014/main" id="{1890E59F-0939-4FDF-B832-0D806F583C9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oneCellAnchor>
  <xdr:twoCellAnchor editAs="oneCell">
    <xdr:from>
      <xdr:col>19</xdr:col>
      <xdr:colOff>664027</xdr:colOff>
      <xdr:row>363</xdr:row>
      <xdr:rowOff>-1</xdr:rowOff>
    </xdr:from>
    <xdr:to>
      <xdr:col>25</xdr:col>
      <xdr:colOff>398196</xdr:colOff>
      <xdr:row>383</xdr:row>
      <xdr:rowOff>60419</xdr:rowOff>
    </xdr:to>
    <xdr:graphicFrame macro="">
      <xdr:nvGraphicFramePr>
        <xdr:cNvPr id="126" name="Chart 125">
          <a:extLst>
            <a:ext uri="{FF2B5EF4-FFF2-40B4-BE49-F238E27FC236}">
              <a16:creationId xmlns:a16="http://schemas.microsoft.com/office/drawing/2014/main" id="{9FBAA1EE-C8B0-4D6D-AA04-4D11FDA18C1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4</xdr:col>
      <xdr:colOff>0</xdr:colOff>
      <xdr:row>364</xdr:row>
      <xdr:rowOff>-1</xdr:rowOff>
    </xdr:from>
    <xdr:to>
      <xdr:col>10</xdr:col>
      <xdr:colOff>12300</xdr:colOff>
      <xdr:row>384</xdr:row>
      <xdr:rowOff>60419</xdr:rowOff>
    </xdr:to>
    <xdr:graphicFrame macro="">
      <xdr:nvGraphicFramePr>
        <xdr:cNvPr id="128" name="Chart 127">
          <a:extLst>
            <a:ext uri="{FF2B5EF4-FFF2-40B4-BE49-F238E27FC236}">
              <a16:creationId xmlns:a16="http://schemas.microsoft.com/office/drawing/2014/main" id="{F188EA18-6247-4B57-A67F-80B0F0C7082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4</xdr:col>
      <xdr:colOff>-1</xdr:colOff>
      <xdr:row>329</xdr:row>
      <xdr:rowOff>0</xdr:rowOff>
    </xdr:from>
    <xdr:ext cx="8280000" cy="4320000"/>
    <xdr:graphicFrame macro="">
      <xdr:nvGraphicFramePr>
        <xdr:cNvPr id="129" name="Chart 128">
          <a:extLst>
            <a:ext uri="{FF2B5EF4-FFF2-40B4-BE49-F238E27FC236}">
              <a16:creationId xmlns:a16="http://schemas.microsoft.com/office/drawing/2014/main" id="{52A451DD-13DB-46ED-BDC8-98B99DBD0F9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oneCellAnchor>
  <xdr:oneCellAnchor>
    <xdr:from>
      <xdr:col>10</xdr:col>
      <xdr:colOff>-1</xdr:colOff>
      <xdr:row>329</xdr:row>
      <xdr:rowOff>60960</xdr:rowOff>
    </xdr:from>
    <xdr:ext cx="8280000" cy="4320000"/>
    <xdr:graphicFrame macro="">
      <xdr:nvGraphicFramePr>
        <xdr:cNvPr id="130" name="Chart 129">
          <a:extLst>
            <a:ext uri="{FF2B5EF4-FFF2-40B4-BE49-F238E27FC236}">
              <a16:creationId xmlns:a16="http://schemas.microsoft.com/office/drawing/2014/main" id="{228D5424-2725-4FA5-8784-F188970AA58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oneCellAnchor>
  <xdr:twoCellAnchor editAs="oneCell">
    <xdr:from>
      <xdr:col>3</xdr:col>
      <xdr:colOff>243839</xdr:colOff>
      <xdr:row>387</xdr:row>
      <xdr:rowOff>0</xdr:rowOff>
    </xdr:from>
    <xdr:to>
      <xdr:col>10</xdr:col>
      <xdr:colOff>19919</xdr:colOff>
      <xdr:row>407</xdr:row>
      <xdr:rowOff>60420</xdr:rowOff>
    </xdr:to>
    <xdr:graphicFrame macro="">
      <xdr:nvGraphicFramePr>
        <xdr:cNvPr id="131" name="Chart 130">
          <a:extLst>
            <a:ext uri="{FF2B5EF4-FFF2-40B4-BE49-F238E27FC236}">
              <a16:creationId xmlns:a16="http://schemas.microsoft.com/office/drawing/2014/main" id="{383FAB84-0167-4A82-9C45-4D9EA522417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3</xdr:col>
      <xdr:colOff>241299</xdr:colOff>
      <xdr:row>410</xdr:row>
      <xdr:rowOff>215899</xdr:rowOff>
    </xdr:from>
    <xdr:to>
      <xdr:col>10</xdr:col>
      <xdr:colOff>37699</xdr:colOff>
      <xdr:row>431</xdr:row>
      <xdr:rowOff>1999</xdr:rowOff>
    </xdr:to>
    <xdr:graphicFrame macro="">
      <xdr:nvGraphicFramePr>
        <xdr:cNvPr id="133" name="Chart 132">
          <a:extLst>
            <a:ext uri="{FF2B5EF4-FFF2-40B4-BE49-F238E27FC236}">
              <a16:creationId xmlns:a16="http://schemas.microsoft.com/office/drawing/2014/main" id="{D3DFF00C-4DB1-42D2-BA7F-30B4134DDFD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19</xdr:col>
      <xdr:colOff>622300</xdr:colOff>
      <xdr:row>411</xdr:row>
      <xdr:rowOff>0</xdr:rowOff>
    </xdr:from>
    <xdr:to>
      <xdr:col>25</xdr:col>
      <xdr:colOff>398379</xdr:colOff>
      <xdr:row>431</xdr:row>
      <xdr:rowOff>60420</xdr:rowOff>
    </xdr:to>
    <xdr:graphicFrame macro="">
      <xdr:nvGraphicFramePr>
        <xdr:cNvPr id="22" name="Chart 137">
          <a:extLst>
            <a:ext uri="{FF2B5EF4-FFF2-40B4-BE49-F238E27FC236}">
              <a16:creationId xmlns:a16="http://schemas.microsoft.com/office/drawing/2014/main" id="{3B7ED925-CE14-49B6-8912-F79B20A318C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20</xdr:col>
      <xdr:colOff>0</xdr:colOff>
      <xdr:row>155</xdr:row>
      <xdr:rowOff>0</xdr:rowOff>
    </xdr:from>
    <xdr:to>
      <xdr:col>25</xdr:col>
      <xdr:colOff>626381</xdr:colOff>
      <xdr:row>175</xdr:row>
      <xdr:rowOff>2000</xdr:rowOff>
    </xdr:to>
    <xdr:graphicFrame macro="">
      <xdr:nvGraphicFramePr>
        <xdr:cNvPr id="6" name="Chart 5">
          <a:extLst>
            <a:ext uri="{FF2B5EF4-FFF2-40B4-BE49-F238E27FC236}">
              <a16:creationId xmlns:a16="http://schemas.microsoft.com/office/drawing/2014/main" id="{46DF07F0-926A-4D6D-BFD4-AF462798A4A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26</xdr:col>
      <xdr:colOff>0</xdr:colOff>
      <xdr:row>155</xdr:row>
      <xdr:rowOff>0</xdr:rowOff>
    </xdr:from>
    <xdr:to>
      <xdr:col>31</xdr:col>
      <xdr:colOff>-1</xdr:colOff>
      <xdr:row>175</xdr:row>
      <xdr:rowOff>2000</xdr:rowOff>
    </xdr:to>
    <xdr:graphicFrame macro="">
      <xdr:nvGraphicFramePr>
        <xdr:cNvPr id="7" name="Chart 6">
          <a:extLst>
            <a:ext uri="{FF2B5EF4-FFF2-40B4-BE49-F238E27FC236}">
              <a16:creationId xmlns:a16="http://schemas.microsoft.com/office/drawing/2014/main" id="{540A82F0-D51F-47A0-913C-7DD94297C38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4</xdr:col>
      <xdr:colOff>-1</xdr:colOff>
      <xdr:row>282</xdr:row>
      <xdr:rowOff>0</xdr:rowOff>
    </xdr:from>
    <xdr:to>
      <xdr:col>10</xdr:col>
      <xdr:colOff>12299</xdr:colOff>
      <xdr:row>302</xdr:row>
      <xdr:rowOff>60420</xdr:rowOff>
    </xdr:to>
    <xdr:graphicFrame macro="">
      <xdr:nvGraphicFramePr>
        <xdr:cNvPr id="10" name="Chart 9">
          <a:extLst>
            <a:ext uri="{FF2B5EF4-FFF2-40B4-BE49-F238E27FC236}">
              <a16:creationId xmlns:a16="http://schemas.microsoft.com/office/drawing/2014/main" id="{833F168D-D7A3-4CCF-B14E-AA0CD43B5D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xdr:col>
      <xdr:colOff>67734</xdr:colOff>
      <xdr:row>18</xdr:row>
      <xdr:rowOff>2</xdr:rowOff>
    </xdr:from>
    <xdr:to>
      <xdr:col>10</xdr:col>
      <xdr:colOff>63100</xdr:colOff>
      <xdr:row>38</xdr:row>
      <xdr:rowOff>129003</xdr:rowOff>
    </xdr:to>
    <xdr:grpSp>
      <xdr:nvGrpSpPr>
        <xdr:cNvPr id="4" name="Group 3">
          <a:extLst>
            <a:ext uri="{FF2B5EF4-FFF2-40B4-BE49-F238E27FC236}">
              <a16:creationId xmlns:a16="http://schemas.microsoft.com/office/drawing/2014/main" id="{0C78FDE2-12B4-57BC-0729-FD5BED6213A6}"/>
            </a:ext>
          </a:extLst>
        </xdr:cNvPr>
        <xdr:cNvGrpSpPr/>
      </xdr:nvGrpSpPr>
      <xdr:grpSpPr>
        <a:xfrm>
          <a:off x="307220" y="5399316"/>
          <a:ext cx="8246737" cy="4483287"/>
          <a:chOff x="1667933" y="5376331"/>
          <a:chExt cx="8132145" cy="4363097"/>
        </a:xfrm>
      </xdr:grpSpPr>
      <xdr:graphicFrame macro="">
        <xdr:nvGraphicFramePr>
          <xdr:cNvPr id="14" name="Chart 13">
            <a:extLst>
              <a:ext uri="{FF2B5EF4-FFF2-40B4-BE49-F238E27FC236}">
                <a16:creationId xmlns:a16="http://schemas.microsoft.com/office/drawing/2014/main" id="{4617D1F2-0314-40CE-8940-F73777321B0C}"/>
              </a:ext>
            </a:extLst>
          </xdr:cNvPr>
          <xdr:cNvGraphicFramePr>
            <a:graphicFrameLocks noChangeAspect="1"/>
          </xdr:cNvGraphicFramePr>
        </xdr:nvGraphicFramePr>
        <xdr:xfrm>
          <a:off x="1667933" y="5376331"/>
          <a:ext cx="8132145" cy="4363097"/>
        </xdr:xfrm>
        <a:graphic>
          <a:graphicData uri="http://schemas.openxmlformats.org/drawingml/2006/chart">
            <c:chart xmlns:c="http://schemas.openxmlformats.org/drawingml/2006/chart" xmlns:r="http://schemas.openxmlformats.org/officeDocument/2006/relationships" r:id="rId18"/>
          </a:graphicData>
        </a:graphic>
      </xdr:graphicFrame>
      <xdr:sp macro="" textlink="#REF!">
        <xdr:nvSpPr>
          <xdr:cNvPr id="2" name="TextBox 1">
            <a:extLst>
              <a:ext uri="{FF2B5EF4-FFF2-40B4-BE49-F238E27FC236}">
                <a16:creationId xmlns:a16="http://schemas.microsoft.com/office/drawing/2014/main" id="{58A57277-5A25-72BE-51AB-0E4FF1B5258F}"/>
              </a:ext>
            </a:extLst>
          </xdr:cNvPr>
          <xdr:cNvSpPr txBox="1"/>
        </xdr:nvSpPr>
        <xdr:spPr>
          <a:xfrm>
            <a:off x="4862134" y="7160672"/>
            <a:ext cx="1769533" cy="1151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D6C901D-779B-47B9-BC7B-9922F0DFD613}" type="TxLink">
              <a:rPr lang="en-US" sz="1400" b="1" i="0" u="none" strike="noStrike">
                <a:solidFill>
                  <a:sysClr val="windowText" lastClr="000000"/>
                </a:solidFill>
                <a:latin typeface="Segoe UI"/>
                <a:cs typeface="Segoe UI"/>
              </a:rPr>
              <a:pPr algn="ctr"/>
              <a:t>Losun Íslands eftir skuldbindingum 2025</a:t>
            </a:fld>
            <a:endParaRPr lang="is-IS" sz="1800">
              <a:solidFill>
                <a:sysClr val="windowText" lastClr="000000"/>
              </a:solidFill>
            </a:endParaRPr>
          </a:p>
        </xdr:txBody>
      </xdr:sp>
    </xdr:grpSp>
    <xdr:clientData/>
  </xdr:twoCellAnchor>
  <xdr:twoCellAnchor editAs="oneCell">
    <xdr:from>
      <xdr:col>4</xdr:col>
      <xdr:colOff>9523</xdr:colOff>
      <xdr:row>66</xdr:row>
      <xdr:rowOff>180974</xdr:rowOff>
    </xdr:from>
    <xdr:to>
      <xdr:col>10</xdr:col>
      <xdr:colOff>17741</xdr:colOff>
      <xdr:row>86</xdr:row>
      <xdr:rowOff>115664</xdr:rowOff>
    </xdr:to>
    <xdr:graphicFrame macro="">
      <xdr:nvGraphicFramePr>
        <xdr:cNvPr id="41" name="Chart 8">
          <a:extLst>
            <a:ext uri="{FF2B5EF4-FFF2-40B4-BE49-F238E27FC236}">
              <a16:creationId xmlns:a16="http://schemas.microsoft.com/office/drawing/2014/main" id="{7CCC9086-7BC2-4F81-8073-A07838C7935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20</xdr:col>
      <xdr:colOff>0</xdr:colOff>
      <xdr:row>67</xdr:row>
      <xdr:rowOff>0</xdr:rowOff>
    </xdr:from>
    <xdr:to>
      <xdr:col>25</xdr:col>
      <xdr:colOff>416159</xdr:colOff>
      <xdr:row>87</xdr:row>
      <xdr:rowOff>60420</xdr:rowOff>
    </xdr:to>
    <xdr:graphicFrame macro="">
      <xdr:nvGraphicFramePr>
        <xdr:cNvPr id="16" name="Chart 15">
          <a:extLst>
            <a:ext uri="{FF2B5EF4-FFF2-40B4-BE49-F238E27FC236}">
              <a16:creationId xmlns:a16="http://schemas.microsoft.com/office/drawing/2014/main" id="{AA278F5D-CBE5-42A1-9451-BF3B99ECDDA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4</xdr:col>
      <xdr:colOff>0</xdr:colOff>
      <xdr:row>200</xdr:row>
      <xdr:rowOff>0</xdr:rowOff>
    </xdr:from>
    <xdr:to>
      <xdr:col>10</xdr:col>
      <xdr:colOff>0</xdr:colOff>
      <xdr:row>220</xdr:row>
      <xdr:rowOff>60420</xdr:rowOff>
    </xdr:to>
    <xdr:graphicFrame macro="">
      <xdr:nvGraphicFramePr>
        <xdr:cNvPr id="26" name="Chart 25">
          <a:extLst>
            <a:ext uri="{FF2B5EF4-FFF2-40B4-BE49-F238E27FC236}">
              <a16:creationId xmlns:a16="http://schemas.microsoft.com/office/drawing/2014/main" id="{3860066D-5582-4195-9335-6488B52B3AC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4</xdr:col>
      <xdr:colOff>3808</xdr:colOff>
      <xdr:row>221</xdr:row>
      <xdr:rowOff>0</xdr:rowOff>
    </xdr:from>
    <xdr:to>
      <xdr:col>10</xdr:col>
      <xdr:colOff>18879</xdr:colOff>
      <xdr:row>241</xdr:row>
      <xdr:rowOff>17471</xdr:rowOff>
    </xdr:to>
    <xdr:graphicFrame macro="">
      <xdr:nvGraphicFramePr>
        <xdr:cNvPr id="27" name="Chart 26">
          <a:extLst>
            <a:ext uri="{FF2B5EF4-FFF2-40B4-BE49-F238E27FC236}">
              <a16:creationId xmlns:a16="http://schemas.microsoft.com/office/drawing/2014/main" id="{8663DA90-0B96-4443-ADE5-E6D60D12841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20</xdr:col>
      <xdr:colOff>0</xdr:colOff>
      <xdr:row>221</xdr:row>
      <xdr:rowOff>-1</xdr:rowOff>
    </xdr:from>
    <xdr:to>
      <xdr:col>25</xdr:col>
      <xdr:colOff>416159</xdr:colOff>
      <xdr:row>241</xdr:row>
      <xdr:rowOff>60419</xdr:rowOff>
    </xdr:to>
    <xdr:graphicFrame macro="">
      <xdr:nvGraphicFramePr>
        <xdr:cNvPr id="33" name="Chart 32">
          <a:extLst>
            <a:ext uri="{FF2B5EF4-FFF2-40B4-BE49-F238E27FC236}">
              <a16:creationId xmlns:a16="http://schemas.microsoft.com/office/drawing/2014/main" id="{32CB9E5C-9043-4342-A4A2-76CB5E7D293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20</xdr:col>
      <xdr:colOff>0</xdr:colOff>
      <xdr:row>200</xdr:row>
      <xdr:rowOff>0</xdr:rowOff>
    </xdr:from>
    <xdr:to>
      <xdr:col>25</xdr:col>
      <xdr:colOff>398779</xdr:colOff>
      <xdr:row>220</xdr:row>
      <xdr:rowOff>60420</xdr:rowOff>
    </xdr:to>
    <xdr:graphicFrame macro="">
      <xdr:nvGraphicFramePr>
        <xdr:cNvPr id="35" name="Chart 34">
          <a:extLst>
            <a:ext uri="{FF2B5EF4-FFF2-40B4-BE49-F238E27FC236}">
              <a16:creationId xmlns:a16="http://schemas.microsoft.com/office/drawing/2014/main" id="{DAEDB4FF-013A-41E7-A0EE-783DB76FD55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10</xdr:col>
      <xdr:colOff>0</xdr:colOff>
      <xdr:row>43</xdr:row>
      <xdr:rowOff>0</xdr:rowOff>
    </xdr:from>
    <xdr:to>
      <xdr:col>15</xdr:col>
      <xdr:colOff>59109</xdr:colOff>
      <xdr:row>63</xdr:row>
      <xdr:rowOff>136620</xdr:rowOff>
    </xdr:to>
    <xdr:graphicFrame macro="">
      <xdr:nvGraphicFramePr>
        <xdr:cNvPr id="44" name="Chart 43">
          <a:extLst>
            <a:ext uri="{FF2B5EF4-FFF2-40B4-BE49-F238E27FC236}">
              <a16:creationId xmlns:a16="http://schemas.microsoft.com/office/drawing/2014/main" id="{3552C65C-E4A7-499B-AF54-559D3F18C4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26</xdr:col>
      <xdr:colOff>0</xdr:colOff>
      <xdr:row>44</xdr:row>
      <xdr:rowOff>0</xdr:rowOff>
    </xdr:from>
    <xdr:to>
      <xdr:col>30</xdr:col>
      <xdr:colOff>1723934</xdr:colOff>
      <xdr:row>64</xdr:row>
      <xdr:rowOff>1998</xdr:rowOff>
    </xdr:to>
    <xdr:graphicFrame macro="">
      <xdr:nvGraphicFramePr>
        <xdr:cNvPr id="46" name="Chart 45">
          <a:extLst>
            <a:ext uri="{FF2B5EF4-FFF2-40B4-BE49-F238E27FC236}">
              <a16:creationId xmlns:a16="http://schemas.microsoft.com/office/drawing/2014/main" id="{DD66BCA0-C4FB-46FB-B1A3-8D0903252AC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4</xdr:col>
      <xdr:colOff>0</xdr:colOff>
      <xdr:row>88</xdr:row>
      <xdr:rowOff>0</xdr:rowOff>
    </xdr:from>
    <xdr:to>
      <xdr:col>10</xdr:col>
      <xdr:colOff>2503</xdr:colOff>
      <xdr:row>108</xdr:row>
      <xdr:rowOff>22048</xdr:rowOff>
    </xdr:to>
    <xdr:graphicFrame macro="">
      <xdr:nvGraphicFramePr>
        <xdr:cNvPr id="42" name="Chart 50">
          <a:extLst>
            <a:ext uri="{FF2B5EF4-FFF2-40B4-BE49-F238E27FC236}">
              <a16:creationId xmlns:a16="http://schemas.microsoft.com/office/drawing/2014/main" id="{549FA60A-8293-4F50-88F0-0ABF692867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10</xdr:col>
      <xdr:colOff>133350</xdr:colOff>
      <xdr:row>67</xdr:row>
      <xdr:rowOff>76200</xdr:rowOff>
    </xdr:from>
    <xdr:to>
      <xdr:col>15</xdr:col>
      <xdr:colOff>192459</xdr:colOff>
      <xdr:row>88</xdr:row>
      <xdr:rowOff>3270</xdr:rowOff>
    </xdr:to>
    <xdr:graphicFrame macro="">
      <xdr:nvGraphicFramePr>
        <xdr:cNvPr id="52" name="Chart 51">
          <a:extLst>
            <a:ext uri="{FF2B5EF4-FFF2-40B4-BE49-F238E27FC236}">
              <a16:creationId xmlns:a16="http://schemas.microsoft.com/office/drawing/2014/main" id="{FCFCA3F9-7943-4F29-89DA-F9621AD9A31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20</xdr:col>
      <xdr:colOff>0</xdr:colOff>
      <xdr:row>88</xdr:row>
      <xdr:rowOff>0</xdr:rowOff>
    </xdr:from>
    <xdr:to>
      <xdr:col>25</xdr:col>
      <xdr:colOff>838199</xdr:colOff>
      <xdr:row>107</xdr:row>
      <xdr:rowOff>91623</xdr:rowOff>
    </xdr:to>
    <xdr:graphicFrame macro="">
      <xdr:nvGraphicFramePr>
        <xdr:cNvPr id="59" name="Chart 58">
          <a:extLst>
            <a:ext uri="{FF2B5EF4-FFF2-40B4-BE49-F238E27FC236}">
              <a16:creationId xmlns:a16="http://schemas.microsoft.com/office/drawing/2014/main" id="{3772B9BF-C3F2-43E8-B18A-2A18E68EC09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25</xdr:col>
      <xdr:colOff>971550</xdr:colOff>
      <xdr:row>67</xdr:row>
      <xdr:rowOff>57150</xdr:rowOff>
    </xdr:from>
    <xdr:to>
      <xdr:col>30</xdr:col>
      <xdr:colOff>1182100</xdr:colOff>
      <xdr:row>86</xdr:row>
      <xdr:rowOff>78288</xdr:rowOff>
    </xdr:to>
    <xdr:graphicFrame macro="">
      <xdr:nvGraphicFramePr>
        <xdr:cNvPr id="69" name="Chart 68">
          <a:extLst>
            <a:ext uri="{FF2B5EF4-FFF2-40B4-BE49-F238E27FC236}">
              <a16:creationId xmlns:a16="http://schemas.microsoft.com/office/drawing/2014/main" id="{EC42455F-9460-46F1-8D85-313A735006B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10</xdr:col>
      <xdr:colOff>0</xdr:colOff>
      <xdr:row>155</xdr:row>
      <xdr:rowOff>0</xdr:rowOff>
    </xdr:from>
    <xdr:to>
      <xdr:col>15</xdr:col>
      <xdr:colOff>36249</xdr:colOff>
      <xdr:row>175</xdr:row>
      <xdr:rowOff>60420</xdr:rowOff>
    </xdr:to>
    <xdr:graphicFrame macro="">
      <xdr:nvGraphicFramePr>
        <xdr:cNvPr id="75" name="Chart 74">
          <a:extLst>
            <a:ext uri="{FF2B5EF4-FFF2-40B4-BE49-F238E27FC236}">
              <a16:creationId xmlns:a16="http://schemas.microsoft.com/office/drawing/2014/main" id="{DB842C7E-9FB8-43F0-B999-4D6896959D0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26</xdr:col>
      <xdr:colOff>0</xdr:colOff>
      <xdr:row>221</xdr:row>
      <xdr:rowOff>0</xdr:rowOff>
    </xdr:from>
    <xdr:to>
      <xdr:col>31</xdr:col>
      <xdr:colOff>96120</xdr:colOff>
      <xdr:row>241</xdr:row>
      <xdr:rowOff>60420</xdr:rowOff>
    </xdr:to>
    <xdr:graphicFrame macro="">
      <xdr:nvGraphicFramePr>
        <xdr:cNvPr id="79" name="Chart 78">
          <a:extLst>
            <a:ext uri="{FF2B5EF4-FFF2-40B4-BE49-F238E27FC236}">
              <a16:creationId xmlns:a16="http://schemas.microsoft.com/office/drawing/2014/main" id="{1747ACD5-9903-4707-A791-FBE01CB336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20</xdr:col>
      <xdr:colOff>0</xdr:colOff>
      <xdr:row>18</xdr:row>
      <xdr:rowOff>0</xdr:rowOff>
    </xdr:from>
    <xdr:to>
      <xdr:col>25</xdr:col>
      <xdr:colOff>401766</xdr:colOff>
      <xdr:row>38</xdr:row>
      <xdr:rowOff>129001</xdr:rowOff>
    </xdr:to>
    <xdr:graphicFrame macro="">
      <xdr:nvGraphicFramePr>
        <xdr:cNvPr id="5" name="Chart 4">
          <a:extLst>
            <a:ext uri="{FF2B5EF4-FFF2-40B4-BE49-F238E27FC236}">
              <a16:creationId xmlns:a16="http://schemas.microsoft.com/office/drawing/2014/main" id="{3AAEFAC7-F960-428C-ADC5-88000F6CE0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4</xdr:col>
      <xdr:colOff>32658</xdr:colOff>
      <xdr:row>130</xdr:row>
      <xdr:rowOff>119743</xdr:rowOff>
    </xdr:from>
    <xdr:to>
      <xdr:col>10</xdr:col>
      <xdr:colOff>47498</xdr:colOff>
      <xdr:row>150</xdr:row>
      <xdr:rowOff>174448</xdr:rowOff>
    </xdr:to>
    <xdr:graphicFrame macro="">
      <xdr:nvGraphicFramePr>
        <xdr:cNvPr id="15" name="Chart 14">
          <a:extLst>
            <a:ext uri="{FF2B5EF4-FFF2-40B4-BE49-F238E27FC236}">
              <a16:creationId xmlns:a16="http://schemas.microsoft.com/office/drawing/2014/main" id="{B03DA42C-4357-494C-B469-4F88E5701E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19</xdr:col>
      <xdr:colOff>638175</xdr:colOff>
      <xdr:row>131</xdr:row>
      <xdr:rowOff>0</xdr:rowOff>
    </xdr:from>
    <xdr:to>
      <xdr:col>25</xdr:col>
      <xdr:colOff>364089</xdr:colOff>
      <xdr:row>151</xdr:row>
      <xdr:rowOff>60420</xdr:rowOff>
    </xdr:to>
    <xdr:graphicFrame macro="">
      <xdr:nvGraphicFramePr>
        <xdr:cNvPr id="17" name="Chart 16">
          <a:extLst>
            <a:ext uri="{FF2B5EF4-FFF2-40B4-BE49-F238E27FC236}">
              <a16:creationId xmlns:a16="http://schemas.microsoft.com/office/drawing/2014/main" id="{DA180E05-8927-4EEB-AC0F-B4177C4D8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3</xdr:col>
      <xdr:colOff>242453</xdr:colOff>
      <xdr:row>245</xdr:row>
      <xdr:rowOff>19685</xdr:rowOff>
    </xdr:from>
    <xdr:to>
      <xdr:col>10</xdr:col>
      <xdr:colOff>22690</xdr:colOff>
      <xdr:row>265</xdr:row>
      <xdr:rowOff>48586</xdr:rowOff>
    </xdr:to>
    <xdr:graphicFrame macro="">
      <xdr:nvGraphicFramePr>
        <xdr:cNvPr id="3" name="Chart 2">
          <a:extLst>
            <a:ext uri="{FF2B5EF4-FFF2-40B4-BE49-F238E27FC236}">
              <a16:creationId xmlns:a16="http://schemas.microsoft.com/office/drawing/2014/main" id="{59CACE6E-9B70-41B4-9F3B-CBDBB1FCCAE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10</xdr:col>
      <xdr:colOff>158750</xdr:colOff>
      <xdr:row>245</xdr:row>
      <xdr:rowOff>0</xdr:rowOff>
    </xdr:from>
    <xdr:to>
      <xdr:col>13</xdr:col>
      <xdr:colOff>977265</xdr:colOff>
      <xdr:row>266</xdr:row>
      <xdr:rowOff>76200</xdr:rowOff>
    </xdr:to>
    <xdr:sp macro="" textlink="">
      <xdr:nvSpPr>
        <xdr:cNvPr id="11" name="TextBox 10">
          <a:extLst>
            <a:ext uri="{FF2B5EF4-FFF2-40B4-BE49-F238E27FC236}">
              <a16:creationId xmlns:a16="http://schemas.microsoft.com/office/drawing/2014/main" id="{85C93980-E3AA-4EDA-8F3B-2B4B6E582C2F}"/>
            </a:ext>
          </a:extLst>
        </xdr:cNvPr>
        <xdr:cNvSpPr txBox="1"/>
      </xdr:nvSpPr>
      <xdr:spPr>
        <a:xfrm>
          <a:off x="10426700" y="56397525"/>
          <a:ext cx="4780915" cy="4476750"/>
        </a:xfrm>
        <a:prstGeom prst="roundRect">
          <a:avLst/>
        </a:prstGeom>
        <a:solidFill>
          <a:schemeClr val="lt1"/>
        </a:solidFill>
        <a:ln w="19050" cmpd="sng">
          <a:solidFill>
            <a:schemeClr val="accent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000" b="1">
              <a:solidFill>
                <a:sysClr val="windowText" lastClr="000000"/>
              </a:solidFill>
            </a:rPr>
            <a:t>Samfélagslosun</a:t>
          </a:r>
          <a:r>
            <a:rPr lang="en-GB" sz="1000" b="1" baseline="0">
              <a:solidFill>
                <a:sysClr val="windowText" lastClr="000000"/>
              </a:solidFill>
            </a:rPr>
            <a:t> </a:t>
          </a:r>
          <a:r>
            <a:rPr lang="en-GB" sz="1000">
              <a:solidFill>
                <a:sysClr val="windowText" lastClr="000000"/>
              </a:solidFill>
              <a:effectLst/>
              <a:latin typeface="+mn-lt"/>
              <a:ea typeface="+mn-ea"/>
              <a:cs typeface="+mn-cs"/>
            </a:rPr>
            <a:t>er losun gróðurhúsalofttegunda sem fellur undir</a:t>
          </a:r>
          <a:r>
            <a:rPr lang="en-GB" sz="1000" baseline="0">
              <a:solidFill>
                <a:sysClr val="windowText" lastClr="000000"/>
              </a:solidFill>
              <a:effectLst/>
              <a:latin typeface="+mn-lt"/>
              <a:ea typeface="+mn-ea"/>
              <a:cs typeface="+mn-cs"/>
            </a:rPr>
            <a:t> beina ábyrgð ríkja samkvæmt reglugerð (ESB) </a:t>
          </a:r>
          <a:r>
            <a:rPr lang="en-GB" sz="1000">
              <a:solidFill>
                <a:sysClr val="windowText" lastClr="000000"/>
              </a:solidFill>
              <a:effectLst/>
              <a:latin typeface="+mn-lt"/>
              <a:ea typeface="+mn-ea"/>
              <a:cs typeface="+mn-cs"/>
            </a:rPr>
            <a:t>2018/842 um sameiginlega ábyrgð (e. Effort</a:t>
          </a:r>
          <a:r>
            <a:rPr lang="en-GB" sz="1000" baseline="0">
              <a:solidFill>
                <a:sysClr val="windowText" lastClr="000000"/>
              </a:solidFill>
              <a:effectLst/>
              <a:latin typeface="+mn-lt"/>
              <a:ea typeface="+mn-ea"/>
              <a:cs typeface="+mn-cs"/>
            </a:rPr>
            <a:t> Sharing Regulation, </a:t>
          </a:r>
          <a:r>
            <a:rPr lang="en-GB" sz="1000">
              <a:solidFill>
                <a:sysClr val="windowText" lastClr="000000"/>
              </a:solidFill>
              <a:effectLst/>
              <a:latin typeface="+mn-lt"/>
              <a:ea typeface="+mn-ea"/>
              <a:cs typeface="+mn-cs"/>
            </a:rPr>
            <a:t>ESR).</a:t>
          </a:r>
          <a:r>
            <a:rPr lang="en-GB" sz="1000" baseline="0">
              <a:solidFill>
                <a:sysClr val="windowText" lastClr="000000"/>
              </a:solidFill>
              <a:effectLst/>
              <a:latin typeface="+mn-lt"/>
              <a:ea typeface="+mn-ea"/>
              <a:cs typeface="+mn-cs"/>
            </a:rPr>
            <a:t> </a:t>
          </a:r>
        </a:p>
        <a:p>
          <a:pPr algn="l"/>
          <a:endParaRPr lang="en-GB" sz="1000" baseline="0">
            <a:solidFill>
              <a:sysClr val="windowText" lastClr="000000"/>
            </a:solidFill>
            <a:effectLst/>
            <a:latin typeface="+mn-lt"/>
            <a:ea typeface="+mn-ea"/>
            <a:cs typeface="+mn-cs"/>
          </a:endParaRPr>
        </a:p>
        <a:p>
          <a:pPr algn="l"/>
          <a:r>
            <a:rPr lang="en-GB" sz="1000" b="0">
              <a:solidFill>
                <a:sysClr val="windowText" lastClr="000000"/>
              </a:solidFill>
            </a:rPr>
            <a:t>Núgildandi skuldbinding Íslands gagnvart regluverki</a:t>
          </a:r>
          <a:r>
            <a:rPr lang="en-GB" sz="1000" b="0" baseline="0">
              <a:solidFill>
                <a:sysClr val="windowText" lastClr="000000"/>
              </a:solidFill>
            </a:rPr>
            <a:t> ESB</a:t>
          </a:r>
          <a:r>
            <a:rPr lang="en-GB" sz="1000" b="0">
              <a:solidFill>
                <a:sysClr val="windowText" lastClr="000000"/>
              </a:solidFill>
            </a:rPr>
            <a:t> fyrir samfélagslosun</a:t>
          </a:r>
          <a:r>
            <a:rPr lang="en-GB" sz="1000" b="1" baseline="0">
              <a:solidFill>
                <a:sysClr val="windowText" lastClr="000000"/>
              </a:solidFill>
            </a:rPr>
            <a:t> </a:t>
          </a:r>
          <a:r>
            <a:rPr lang="en-GB" sz="1000">
              <a:solidFill>
                <a:sysClr val="windowText" lastClr="000000"/>
              </a:solidFill>
            </a:rPr>
            <a:t>er 29% samdráttur árið 2030 miðað 2005. Árið 2020 uppfærði ESB heildarmarkmið sitt fyrir losun árið 2030.</a:t>
          </a:r>
          <a:r>
            <a:rPr lang="en-GB" sz="1000" baseline="0">
              <a:solidFill>
                <a:sysClr val="windowText" lastClr="000000"/>
              </a:solidFill>
            </a:rPr>
            <a:t> Í </a:t>
          </a:r>
          <a:r>
            <a:rPr lang="en-GB" sz="1000">
              <a:solidFill>
                <a:sysClr val="windowText" lastClr="000000"/>
              </a:solidFill>
            </a:rPr>
            <a:t>þessari uppfærslu </a:t>
          </a:r>
          <a:r>
            <a:rPr lang="en-GB" sz="1000">
              <a:solidFill>
                <a:sysClr val="windowText" lastClr="000000"/>
              </a:solidFill>
              <a:latin typeface="+mn-lt"/>
              <a:ea typeface="+mn-ea"/>
              <a:cs typeface="+mn-cs"/>
            </a:rPr>
            <a:t>var skuldbinding </a:t>
          </a:r>
          <a:r>
            <a:rPr lang="en-GB" sz="1000">
              <a:solidFill>
                <a:sysClr val="windowText" lastClr="000000"/>
              </a:solidFill>
            </a:rPr>
            <a:t>2030 fyrir samfélagslosun ESB </a:t>
          </a:r>
          <a:r>
            <a:rPr lang="en-GB" sz="1000" b="0">
              <a:solidFill>
                <a:sysClr val="windowText" lastClr="000000"/>
              </a:solidFill>
            </a:rPr>
            <a:t>hækkuð úr 30% í 40% </a:t>
          </a:r>
          <a:r>
            <a:rPr lang="en-GB" sz="1000">
              <a:solidFill>
                <a:sysClr val="windowText" lastClr="000000"/>
              </a:solidFill>
            </a:rPr>
            <a:t>miðað við 2005.</a:t>
          </a:r>
          <a:r>
            <a:rPr lang="en-GB" sz="1000" baseline="0">
              <a:solidFill>
                <a:sysClr val="windowText" lastClr="000000"/>
              </a:solidFill>
            </a:rPr>
            <a:t> R</a:t>
          </a:r>
          <a:r>
            <a:rPr lang="en-GB" sz="1000">
              <a:solidFill>
                <a:sysClr val="windowText" lastClr="000000"/>
              </a:solidFill>
            </a:rPr>
            <a:t>eglugerð (ESB) 2018/842 var því uppfærð með nýjar</a:t>
          </a:r>
          <a:r>
            <a:rPr lang="en-GB" sz="1000" baseline="0">
              <a:solidFill>
                <a:sysClr val="windowText" lastClr="000000"/>
              </a:solidFill>
            </a:rPr>
            <a:t> skuldbindingar</a:t>
          </a:r>
          <a:r>
            <a:rPr lang="en-GB" sz="1000">
              <a:solidFill>
                <a:sysClr val="windowText" lastClr="000000"/>
              </a:solidFill>
            </a:rPr>
            <a:t> fyrir hvert aðildarríki ESB. </a:t>
          </a:r>
          <a:r>
            <a:rPr lang="en-GB" sz="1000" baseline="0">
              <a:solidFill>
                <a:sysClr val="windowText" lastClr="000000"/>
              </a:solidFill>
            </a:rPr>
            <a:t> </a:t>
          </a:r>
          <a:r>
            <a:rPr lang="en-GB" sz="1000">
              <a:solidFill>
                <a:sysClr val="windowText" lastClr="000000"/>
              </a:solidFill>
            </a:rPr>
            <a:t>Vinna við uppfærðar skuldbindingar fyrir Ísland og Noreg er langt komin </a:t>
          </a:r>
          <a:r>
            <a:rPr lang="en-GB" sz="1000" b="0">
              <a:solidFill>
                <a:sysClr val="windowText" lastClr="000000"/>
              </a:solidFill>
            </a:rPr>
            <a:t>og áætlað er að </a:t>
          </a:r>
          <a:r>
            <a:rPr lang="en-GB" sz="1000" b="1">
              <a:solidFill>
                <a:sysClr val="windowText" lastClr="000000"/>
              </a:solidFill>
            </a:rPr>
            <a:t>ný</a:t>
          </a:r>
          <a:r>
            <a:rPr lang="en-GB" sz="1000" b="1" baseline="0">
              <a:solidFill>
                <a:sysClr val="windowText" lastClr="000000"/>
              </a:solidFill>
            </a:rPr>
            <a:t> skuldbinding</a:t>
          </a:r>
          <a:r>
            <a:rPr lang="en-GB" sz="1000" b="1">
              <a:solidFill>
                <a:sysClr val="windowText" lastClr="000000"/>
              </a:solidFill>
            </a:rPr>
            <a:t> fyrir Ísland verði 41% samdráttur árið 2030 </a:t>
          </a:r>
          <a:r>
            <a:rPr lang="en-GB" sz="1000">
              <a:solidFill>
                <a:sysClr val="windowText" lastClr="000000"/>
              </a:solidFill>
            </a:rPr>
            <a:t>miðað við 2005. </a:t>
          </a:r>
        </a:p>
        <a:p>
          <a:pPr algn="l"/>
          <a:endParaRPr lang="en-GB" sz="1000">
            <a:solidFill>
              <a:sysClr val="windowText" lastClr="000000"/>
            </a:solidFill>
          </a:endParaRPr>
        </a:p>
        <a:p>
          <a:pPr algn="l"/>
          <a:r>
            <a:rPr lang="en-GB" sz="1000">
              <a:solidFill>
                <a:sysClr val="windowText" lastClr="000000"/>
              </a:solidFill>
            </a:rPr>
            <a:t>Í </a:t>
          </a:r>
          <a:r>
            <a:rPr lang="en-GB" sz="1000" b="1">
              <a:solidFill>
                <a:sysClr val="windowText" lastClr="000000"/>
              </a:solidFill>
            </a:rPr>
            <a:t>landsákvörðuðu framlagi </a:t>
          </a:r>
          <a:r>
            <a:rPr lang="en-GB" sz="1000" b="0">
              <a:solidFill>
                <a:sysClr val="windowText" lastClr="000000"/>
              </a:solidFill>
            </a:rPr>
            <a:t>(e.</a:t>
          </a:r>
          <a:r>
            <a:rPr lang="en-GB" sz="1000" b="0" baseline="0">
              <a:solidFill>
                <a:sysClr val="windowText" lastClr="000000"/>
              </a:solidFill>
            </a:rPr>
            <a:t> Nationally Determined Contribution) </a:t>
          </a:r>
          <a:r>
            <a:rPr lang="en-GB" sz="1000">
              <a:solidFill>
                <a:sysClr val="windowText" lastClr="000000"/>
              </a:solidFill>
            </a:rPr>
            <a:t>Íslands gagnvart</a:t>
          </a:r>
          <a:r>
            <a:rPr lang="en-GB" sz="1000" baseline="0">
              <a:solidFill>
                <a:sysClr val="windowText" lastClr="000000"/>
              </a:solidFill>
            </a:rPr>
            <a:t> Parísarsamningum kemur fram að markmiðið sé </a:t>
          </a:r>
          <a:r>
            <a:rPr lang="en-GB" sz="1000" b="1" baseline="0">
              <a:solidFill>
                <a:sysClr val="windowText" lastClr="000000"/>
              </a:solidFill>
            </a:rPr>
            <a:t>41% samdráttur í samfélagslosun árið 2030 og 50%-55% árið 2035 </a:t>
          </a:r>
          <a:r>
            <a:rPr lang="en-GB" sz="1000" baseline="0">
              <a:solidFill>
                <a:sysClr val="windowText" lastClr="000000"/>
              </a:solidFill>
            </a:rPr>
            <a:t>miðað við árið 2005. </a:t>
          </a:r>
          <a:endParaRPr lang="en-GB" sz="1000">
            <a:solidFill>
              <a:sysClr val="windowText" lastClr="000000"/>
            </a:solidFill>
          </a:endParaRPr>
        </a:p>
        <a:p>
          <a:pPr algn="l"/>
          <a:endParaRPr lang="en-GB" sz="1000">
            <a:solidFill>
              <a:sysClr val="windowText" lastClr="000000"/>
            </a:solidFill>
          </a:endParaRPr>
        </a:p>
        <a:p>
          <a:pPr algn="l"/>
          <a:r>
            <a:rPr lang="en-GB" sz="1000">
              <a:solidFill>
                <a:sysClr val="windowText" lastClr="000000"/>
              </a:solidFill>
            </a:rPr>
            <a:t>Grafið</a:t>
          </a:r>
          <a:r>
            <a:rPr lang="en-GB" sz="1000" baseline="0">
              <a:solidFill>
                <a:sysClr val="windowText" lastClr="000000"/>
              </a:solidFill>
            </a:rPr>
            <a:t> </a:t>
          </a:r>
          <a:r>
            <a:rPr lang="en-GB" sz="1000">
              <a:solidFill>
                <a:sysClr val="windowText" lastClr="000000"/>
              </a:solidFill>
            </a:rPr>
            <a:t>til vinstri sýnir samfélagslosun Íslands ásamt úthlutuðum losunarheimildum fyrir árin 2021-2023 (sem haldast óbreyttar), sem og áætlaðar árlegar losunarheimildir fyrir árin 2024-2030 byggðar á væntanlegri</a:t>
          </a:r>
          <a:r>
            <a:rPr lang="en-GB" sz="1000" baseline="0">
              <a:solidFill>
                <a:sysClr val="windowText" lastClr="000000"/>
              </a:solidFill>
            </a:rPr>
            <a:t> skuldbindingu um 41% samdrátt</a:t>
          </a:r>
          <a:r>
            <a:rPr lang="en-GB" sz="1000">
              <a:solidFill>
                <a:sysClr val="windowText" lastClr="000000"/>
              </a:solidFill>
            </a:rPr>
            <a:t>.</a:t>
          </a:r>
          <a:endParaRPr lang="en-GB" sz="1000" kern="1200">
            <a:solidFill>
              <a:sysClr val="windowText" lastClr="000000"/>
            </a:solidFill>
          </a:endParaRPr>
        </a:p>
      </xdr:txBody>
    </xdr:sp>
    <xdr:clientData/>
  </xdr:twoCellAnchor>
  <xdr:twoCellAnchor editAs="oneCell">
    <xdr:from>
      <xdr:col>20</xdr:col>
      <xdr:colOff>3809</xdr:colOff>
      <xdr:row>245</xdr:row>
      <xdr:rowOff>0</xdr:rowOff>
    </xdr:from>
    <xdr:to>
      <xdr:col>25</xdr:col>
      <xdr:colOff>434516</xdr:colOff>
      <xdr:row>265</xdr:row>
      <xdr:rowOff>17471</xdr:rowOff>
    </xdr:to>
    <xdr:graphicFrame macro="">
      <xdr:nvGraphicFramePr>
        <xdr:cNvPr id="13" name="Chart 12">
          <a:extLst>
            <a:ext uri="{FF2B5EF4-FFF2-40B4-BE49-F238E27FC236}">
              <a16:creationId xmlns:a16="http://schemas.microsoft.com/office/drawing/2014/main" id="{0C6749B0-0F0E-4855-8167-486DF7BC650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26</xdr:col>
      <xdr:colOff>0</xdr:colOff>
      <xdr:row>245</xdr:row>
      <xdr:rowOff>0</xdr:rowOff>
    </xdr:from>
    <xdr:to>
      <xdr:col>29</xdr:col>
      <xdr:colOff>54293</xdr:colOff>
      <xdr:row>265</xdr:row>
      <xdr:rowOff>34290</xdr:rowOff>
    </xdr:to>
    <xdr:sp macro="" textlink="">
      <xdr:nvSpPr>
        <xdr:cNvPr id="18" name="TextBox 17">
          <a:extLst>
            <a:ext uri="{FF2B5EF4-FFF2-40B4-BE49-F238E27FC236}">
              <a16:creationId xmlns:a16="http://schemas.microsoft.com/office/drawing/2014/main" id="{EBDDB96D-15F3-49D9-858A-9BA878DE19DB}"/>
            </a:ext>
          </a:extLst>
        </xdr:cNvPr>
        <xdr:cNvSpPr txBox="1"/>
      </xdr:nvSpPr>
      <xdr:spPr>
        <a:xfrm>
          <a:off x="39790688" y="52935188"/>
          <a:ext cx="4411980" cy="4320540"/>
        </a:xfrm>
        <a:prstGeom prst="roundRect">
          <a:avLst/>
        </a:prstGeom>
        <a:solidFill>
          <a:schemeClr val="lt1"/>
        </a:solidFill>
        <a:ln w="19050" cmpd="sng">
          <a:solidFill>
            <a:schemeClr val="accent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000" b="1" baseline="0">
              <a:solidFill>
                <a:sysClr val="windowText" lastClr="000000"/>
              </a:solidFill>
              <a:effectLst/>
              <a:latin typeface="+mn-lt"/>
              <a:ea typeface="+mn-ea"/>
              <a:cs typeface="+mn-cs"/>
            </a:rPr>
            <a:t>ESR emissions </a:t>
          </a:r>
          <a:r>
            <a:rPr lang="en-GB" sz="1000" baseline="0">
              <a:solidFill>
                <a:sysClr val="windowText" lastClr="000000"/>
              </a:solidFill>
              <a:effectLst/>
              <a:latin typeface="+mn-lt"/>
              <a:ea typeface="+mn-ea"/>
              <a:cs typeface="+mn-cs"/>
            </a:rPr>
            <a:t>refer to the greenhouse gas emissions that fall under the scope of Regulation (EU) 2018/842 </a:t>
          </a:r>
          <a:r>
            <a:rPr lang="en-GB" sz="900" baseline="0">
              <a:solidFill>
                <a:sysClr val="windowText" lastClr="000000"/>
              </a:solidFill>
              <a:effectLst/>
              <a:latin typeface="+mn-lt"/>
              <a:ea typeface="+mn-ea"/>
              <a:cs typeface="+mn-cs"/>
            </a:rPr>
            <a:t>(</a:t>
          </a:r>
          <a:r>
            <a:rPr lang="en-GB" sz="1050">
              <a:solidFill>
                <a:sysClr val="windowText" lastClr="000000"/>
              </a:solidFill>
              <a:effectLst/>
              <a:latin typeface="+mn-lt"/>
              <a:ea typeface="+mn-ea"/>
              <a:cs typeface="+mn-cs"/>
            </a:rPr>
            <a:t>Effort</a:t>
          </a:r>
          <a:r>
            <a:rPr lang="en-GB" sz="1050" baseline="0">
              <a:solidFill>
                <a:sysClr val="windowText" lastClr="000000"/>
              </a:solidFill>
              <a:effectLst/>
              <a:latin typeface="+mn-lt"/>
              <a:ea typeface="+mn-ea"/>
              <a:cs typeface="+mn-cs"/>
            </a:rPr>
            <a:t> Sharing Regulation, </a:t>
          </a:r>
          <a:r>
            <a:rPr lang="en-GB" sz="1050">
              <a:solidFill>
                <a:sysClr val="windowText" lastClr="000000"/>
              </a:solidFill>
              <a:effectLst/>
              <a:latin typeface="+mn-lt"/>
              <a:ea typeface="+mn-ea"/>
              <a:cs typeface="+mn-cs"/>
            </a:rPr>
            <a:t>ESR).</a:t>
          </a:r>
          <a:r>
            <a:rPr lang="en-GB" sz="1050" baseline="0">
              <a:solidFill>
                <a:sysClr val="windowText" lastClr="000000"/>
              </a:solidFill>
              <a:effectLst/>
              <a:latin typeface="+mn-lt"/>
              <a:ea typeface="+mn-ea"/>
              <a:cs typeface="+mn-cs"/>
            </a:rPr>
            <a:t> </a:t>
          </a:r>
          <a:endParaRPr lang="en-GB" sz="1000">
            <a:solidFill>
              <a:sysClr val="windowText" lastClr="000000"/>
            </a:solidFill>
            <a:effectLst/>
          </a:endParaRPr>
        </a:p>
        <a:p>
          <a:pPr algn="l"/>
          <a:endParaRPr lang="en-GB" sz="1000" baseline="0">
            <a:solidFill>
              <a:sysClr val="windowText" lastClr="000000"/>
            </a:solidFill>
            <a:effectLst/>
            <a:latin typeface="+mn-lt"/>
            <a:ea typeface="+mn-ea"/>
            <a:cs typeface="+mn-cs"/>
          </a:endParaRPr>
        </a:p>
        <a:p>
          <a:pPr algn="l"/>
          <a:r>
            <a:rPr lang="en-GB" sz="1000">
              <a:solidFill>
                <a:sysClr val="windowText" lastClr="000000"/>
              </a:solidFill>
            </a:rPr>
            <a:t>The</a:t>
          </a:r>
          <a:r>
            <a:rPr lang="en-GB" sz="1000" baseline="0">
              <a:solidFill>
                <a:sysClr val="windowText" lastClr="000000"/>
              </a:solidFill>
            </a:rPr>
            <a:t> target currently in force for Iceland's ESR emissions is 29%  reduction by 2030 compared to 2005. </a:t>
          </a:r>
          <a:r>
            <a:rPr lang="en-GB" sz="1000">
              <a:solidFill>
                <a:sysClr val="windowText" lastClr="000000"/>
              </a:solidFill>
            </a:rPr>
            <a:t>In 2020, the EU updated its</a:t>
          </a:r>
          <a:r>
            <a:rPr lang="en-GB" sz="1000" baseline="0">
              <a:solidFill>
                <a:sysClr val="windowText" lastClr="000000"/>
              </a:solidFill>
            </a:rPr>
            <a:t> total emission target for 2030. This includes the target for ESR emissions which was </a:t>
          </a:r>
          <a:r>
            <a:rPr lang="en-GB" sz="1000" b="0" baseline="0">
              <a:solidFill>
                <a:sysClr val="windowText" lastClr="000000"/>
              </a:solidFill>
            </a:rPr>
            <a:t>increased from 30% to 40% </a:t>
          </a:r>
          <a:r>
            <a:rPr lang="en-GB" sz="1000" baseline="0">
              <a:solidFill>
                <a:sysClr val="windowText" lastClr="000000"/>
              </a:solidFill>
            </a:rPr>
            <a:t>(by 2030 compared to 2005). Following the target update, the ESR was revised with new targets for each EU country. </a:t>
          </a:r>
          <a:r>
            <a:rPr lang="en-GB" sz="1000">
              <a:solidFill>
                <a:sysClr val="windowText" lastClr="000000"/>
              </a:solidFill>
            </a:rPr>
            <a:t>Work on updated 2030 ESR target</a:t>
          </a:r>
          <a:r>
            <a:rPr lang="en-GB" sz="1000" baseline="0">
              <a:solidFill>
                <a:sysClr val="windowText" lastClr="000000"/>
              </a:solidFill>
            </a:rPr>
            <a:t> for</a:t>
          </a:r>
          <a:r>
            <a:rPr lang="en-GB" sz="1000">
              <a:solidFill>
                <a:sysClr val="windowText" lastClr="000000"/>
              </a:solidFill>
            </a:rPr>
            <a:t> Iceland and Norway is well underway. </a:t>
          </a:r>
          <a:r>
            <a:rPr lang="en-GB" sz="1000" b="1" baseline="0">
              <a:solidFill>
                <a:sysClr val="windowText" lastClr="000000"/>
              </a:solidFill>
            </a:rPr>
            <a:t>The new target for Iceland is expected to be 41% </a:t>
          </a:r>
          <a:r>
            <a:rPr lang="en-GB" sz="1000" baseline="0">
              <a:solidFill>
                <a:sysClr val="windowText" lastClr="000000"/>
              </a:solidFill>
            </a:rPr>
            <a:t>compared to 2005.</a:t>
          </a:r>
        </a:p>
        <a:p>
          <a:pPr algn="l"/>
          <a:endParaRPr lang="en-GB" sz="10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00" baseline="0">
              <a:solidFill>
                <a:sysClr val="windowText" lastClr="000000"/>
              </a:solidFill>
              <a:latin typeface="+mn-lt"/>
              <a:ea typeface="+mn-ea"/>
              <a:cs typeface="+mn-cs"/>
            </a:rPr>
            <a:t>In </a:t>
          </a:r>
          <a:r>
            <a:rPr lang="en-GB" sz="1000" b="1" baseline="0">
              <a:solidFill>
                <a:sysClr val="windowText" lastClr="000000"/>
              </a:solidFill>
              <a:latin typeface="+mn-lt"/>
              <a:ea typeface="+mn-ea"/>
              <a:cs typeface="+mn-cs"/>
            </a:rPr>
            <a:t>Iceland's NDC</a:t>
          </a:r>
          <a:r>
            <a:rPr lang="en-GB" sz="1000" baseline="0">
              <a:solidFill>
                <a:sysClr val="windowText" lastClr="000000"/>
              </a:solidFill>
              <a:latin typeface="+mn-lt"/>
              <a:ea typeface="+mn-ea"/>
              <a:cs typeface="+mn-cs"/>
            </a:rPr>
            <a:t>, Iceland is committed to a target of </a:t>
          </a:r>
          <a:r>
            <a:rPr lang="en-GB" sz="1000" b="1" baseline="0">
              <a:solidFill>
                <a:sysClr val="windowText" lastClr="000000"/>
              </a:solidFill>
              <a:latin typeface="+mn-lt"/>
              <a:ea typeface="+mn-ea"/>
              <a:cs typeface="+mn-cs"/>
            </a:rPr>
            <a:t>41% net reduction of ESR emissions by 2030 and 50%-55% by 2035 </a:t>
          </a:r>
          <a:r>
            <a:rPr lang="en-GB" sz="1000" baseline="0">
              <a:solidFill>
                <a:sysClr val="windowText" lastClr="000000"/>
              </a:solidFill>
              <a:latin typeface="+mn-lt"/>
              <a:ea typeface="+mn-ea"/>
              <a:cs typeface="+mn-cs"/>
            </a:rPr>
            <a:t>compared to 2005</a:t>
          </a:r>
          <a:r>
            <a:rPr lang="en-US" sz="1000" baseline="0">
              <a:solidFill>
                <a:sysClr val="windowText" lastClr="000000"/>
              </a:solidFill>
              <a:latin typeface="+mn-lt"/>
              <a:ea typeface="+mn-ea"/>
              <a:cs typeface="+mn-cs"/>
            </a:rPr>
            <a:t>.</a:t>
          </a:r>
          <a:endParaRPr lang="is-IS" sz="1000">
            <a:effectLst/>
          </a:endParaRPr>
        </a:p>
        <a:p>
          <a:pPr algn="l"/>
          <a:endParaRPr lang="en-GB" sz="1000">
            <a:solidFill>
              <a:sysClr val="windowText" lastClr="000000"/>
            </a:solidFill>
          </a:endParaRPr>
        </a:p>
        <a:p>
          <a:pPr algn="l"/>
          <a:r>
            <a:rPr lang="en-GB" sz="1000">
              <a:solidFill>
                <a:sysClr val="windowText" lastClr="000000"/>
              </a:solidFill>
            </a:rPr>
            <a:t>The graph</a:t>
          </a:r>
          <a:r>
            <a:rPr lang="en-GB" sz="1000" baseline="0">
              <a:solidFill>
                <a:sysClr val="windowText" lastClr="000000"/>
              </a:solidFill>
            </a:rPr>
            <a:t> on the left shows Iceland's ESR emissions and emission allocations for 2021-2030. Allocations for 2021-2023 remain unchanged, i.e. based on the previous 29% target, while the allocations shown for 2024-2030 are based on the anticipated 41% target.</a:t>
          </a:r>
          <a:endParaRPr lang="en-GB" sz="1000">
            <a:solidFill>
              <a:sysClr val="windowText" lastClr="000000"/>
            </a:solidFill>
          </a:endParaRPr>
        </a:p>
      </xdr:txBody>
    </xdr:sp>
    <xdr:clientData/>
  </xdr:twoCellAnchor>
  <xdr:twoCellAnchor editAs="oneCell">
    <xdr:from>
      <xdr:col>4</xdr:col>
      <xdr:colOff>0</xdr:colOff>
      <xdr:row>176</xdr:row>
      <xdr:rowOff>0</xdr:rowOff>
    </xdr:from>
    <xdr:to>
      <xdr:col>10</xdr:col>
      <xdr:colOff>594177</xdr:colOff>
      <xdr:row>196</xdr:row>
      <xdr:rowOff>76200</xdr:rowOff>
    </xdr:to>
    <xdr:graphicFrame macro="">
      <xdr:nvGraphicFramePr>
        <xdr:cNvPr id="19" name="Chart 18">
          <a:extLst>
            <a:ext uri="{FF2B5EF4-FFF2-40B4-BE49-F238E27FC236}">
              <a16:creationId xmlns:a16="http://schemas.microsoft.com/office/drawing/2014/main" id="{B472D91A-F771-42DC-8E9C-EE47C3DA5C8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20</xdr:col>
      <xdr:colOff>0</xdr:colOff>
      <xdr:row>176</xdr:row>
      <xdr:rowOff>0</xdr:rowOff>
    </xdr:from>
    <xdr:to>
      <xdr:col>25</xdr:col>
      <xdr:colOff>980712</xdr:colOff>
      <xdr:row>196</xdr:row>
      <xdr:rowOff>76200</xdr:rowOff>
    </xdr:to>
    <xdr:graphicFrame macro="">
      <xdr:nvGraphicFramePr>
        <xdr:cNvPr id="21" name="Chart 20">
          <a:extLst>
            <a:ext uri="{FF2B5EF4-FFF2-40B4-BE49-F238E27FC236}">
              <a16:creationId xmlns:a16="http://schemas.microsoft.com/office/drawing/2014/main" id="{D5CEB7B3-F88C-4094-8B37-EC5BCA52598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10</xdr:col>
      <xdr:colOff>0</xdr:colOff>
      <xdr:row>220</xdr:row>
      <xdr:rowOff>0</xdr:rowOff>
    </xdr:from>
    <xdr:to>
      <xdr:col>15</xdr:col>
      <xdr:colOff>21281</xdr:colOff>
      <xdr:row>239</xdr:row>
      <xdr:rowOff>164923</xdr:rowOff>
    </xdr:to>
    <xdr:graphicFrame macro="">
      <xdr:nvGraphicFramePr>
        <xdr:cNvPr id="8" name="Chart 11">
          <a:extLst>
            <a:ext uri="{FF2B5EF4-FFF2-40B4-BE49-F238E27FC236}">
              <a16:creationId xmlns:a16="http://schemas.microsoft.com/office/drawing/2014/main" id="{3E30C7A8-1B52-42F3-8697-F3AEBFEF488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11</xdr:col>
      <xdr:colOff>0</xdr:colOff>
      <xdr:row>411</xdr:row>
      <xdr:rowOff>0</xdr:rowOff>
    </xdr:from>
    <xdr:to>
      <xdr:col>15</xdr:col>
      <xdr:colOff>1024309</xdr:colOff>
      <xdr:row>431</xdr:row>
      <xdr:rowOff>2000</xdr:rowOff>
    </xdr:to>
    <xdr:graphicFrame macro="">
      <xdr:nvGraphicFramePr>
        <xdr:cNvPr id="23" name="Chart 22">
          <a:extLst>
            <a:ext uri="{FF2B5EF4-FFF2-40B4-BE49-F238E27FC236}">
              <a16:creationId xmlns:a16="http://schemas.microsoft.com/office/drawing/2014/main" id="{00FDDD6E-76DA-4A3C-8A6A-B1D980EF9F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11</xdr:col>
      <xdr:colOff>0</xdr:colOff>
      <xdr:row>387</xdr:row>
      <xdr:rowOff>0</xdr:rowOff>
    </xdr:from>
    <xdr:to>
      <xdr:col>15</xdr:col>
      <xdr:colOff>1042089</xdr:colOff>
      <xdr:row>407</xdr:row>
      <xdr:rowOff>60420</xdr:rowOff>
    </xdr:to>
    <xdr:graphicFrame macro="">
      <xdr:nvGraphicFramePr>
        <xdr:cNvPr id="24" name="Chart 23">
          <a:extLst>
            <a:ext uri="{FF2B5EF4-FFF2-40B4-BE49-F238E27FC236}">
              <a16:creationId xmlns:a16="http://schemas.microsoft.com/office/drawing/2014/main" id="{10FEB1FA-3002-41A7-B4EC-EF1DB714347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20</xdr:col>
      <xdr:colOff>0</xdr:colOff>
      <xdr:row>387</xdr:row>
      <xdr:rowOff>0</xdr:rowOff>
    </xdr:from>
    <xdr:to>
      <xdr:col>25</xdr:col>
      <xdr:colOff>439019</xdr:colOff>
      <xdr:row>407</xdr:row>
      <xdr:rowOff>60420</xdr:rowOff>
    </xdr:to>
    <xdr:graphicFrame macro="">
      <xdr:nvGraphicFramePr>
        <xdr:cNvPr id="25" name="Chart 137">
          <a:extLst>
            <a:ext uri="{FF2B5EF4-FFF2-40B4-BE49-F238E27FC236}">
              <a16:creationId xmlns:a16="http://schemas.microsoft.com/office/drawing/2014/main" id="{42A14760-0465-47EA-9DBE-E368C4D8A3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26</xdr:col>
      <xdr:colOff>0</xdr:colOff>
      <xdr:row>411</xdr:row>
      <xdr:rowOff>0</xdr:rowOff>
    </xdr:from>
    <xdr:to>
      <xdr:col>31</xdr:col>
      <xdr:colOff>134220</xdr:colOff>
      <xdr:row>431</xdr:row>
      <xdr:rowOff>60420</xdr:rowOff>
    </xdr:to>
    <xdr:graphicFrame macro="">
      <xdr:nvGraphicFramePr>
        <xdr:cNvPr id="28" name="Chart 27">
          <a:extLst>
            <a:ext uri="{FF2B5EF4-FFF2-40B4-BE49-F238E27FC236}">
              <a16:creationId xmlns:a16="http://schemas.microsoft.com/office/drawing/2014/main" id="{3CBEF20F-79C7-49BC-9138-7F8A67A4619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26</xdr:col>
      <xdr:colOff>0</xdr:colOff>
      <xdr:row>387</xdr:row>
      <xdr:rowOff>0</xdr:rowOff>
    </xdr:from>
    <xdr:to>
      <xdr:col>31</xdr:col>
      <xdr:colOff>134220</xdr:colOff>
      <xdr:row>407</xdr:row>
      <xdr:rowOff>60420</xdr:rowOff>
    </xdr:to>
    <xdr:graphicFrame macro="">
      <xdr:nvGraphicFramePr>
        <xdr:cNvPr id="29" name="Chart 28">
          <a:extLst>
            <a:ext uri="{FF2B5EF4-FFF2-40B4-BE49-F238E27FC236}">
              <a16:creationId xmlns:a16="http://schemas.microsoft.com/office/drawing/2014/main" id="{BC5D8F63-2E8B-4624-832E-F5CAF4AD48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oneCellAnchor>
    <xdr:from>
      <xdr:col>25</xdr:col>
      <xdr:colOff>1475509</xdr:colOff>
      <xdr:row>329</xdr:row>
      <xdr:rowOff>0</xdr:rowOff>
    </xdr:from>
    <xdr:ext cx="8280000" cy="4320000"/>
    <xdr:graphicFrame macro="">
      <xdr:nvGraphicFramePr>
        <xdr:cNvPr id="30" name="Chart 29">
          <a:extLst>
            <a:ext uri="{FF2B5EF4-FFF2-40B4-BE49-F238E27FC236}">
              <a16:creationId xmlns:a16="http://schemas.microsoft.com/office/drawing/2014/main" id="{11D8C2CE-158D-4B8A-A7BC-6B67C25AE96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oneCellAnchor>
  <xdr:oneCellAnchor>
    <xdr:from>
      <xdr:col>20</xdr:col>
      <xdr:colOff>0</xdr:colOff>
      <xdr:row>306</xdr:row>
      <xdr:rowOff>0</xdr:rowOff>
    </xdr:from>
    <xdr:ext cx="8280000" cy="4320000"/>
    <xdr:graphicFrame macro="">
      <xdr:nvGraphicFramePr>
        <xdr:cNvPr id="31" name="Chart 30">
          <a:extLst>
            <a:ext uri="{FF2B5EF4-FFF2-40B4-BE49-F238E27FC236}">
              <a16:creationId xmlns:a16="http://schemas.microsoft.com/office/drawing/2014/main" id="{D44EA56A-3C9F-4FE9-A32B-772254003F4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oneCellAnchor>
  <xdr:oneCellAnchor>
    <xdr:from>
      <xdr:col>26</xdr:col>
      <xdr:colOff>0</xdr:colOff>
      <xdr:row>306</xdr:row>
      <xdr:rowOff>0</xdr:rowOff>
    </xdr:from>
    <xdr:ext cx="8280000" cy="4320000"/>
    <xdr:graphicFrame macro="">
      <xdr:nvGraphicFramePr>
        <xdr:cNvPr id="32" name="Chart 31">
          <a:extLst>
            <a:ext uri="{FF2B5EF4-FFF2-40B4-BE49-F238E27FC236}">
              <a16:creationId xmlns:a16="http://schemas.microsoft.com/office/drawing/2014/main" id="{ABBCC211-7AEA-44DA-9C78-27AF445ADAF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oneCellAnchor>
</xdr:wsDr>
</file>

<file path=xl/drawings/drawing2.xml><?xml version="1.0" encoding="utf-8"?>
<c:userShapes xmlns:c="http://schemas.openxmlformats.org/drawingml/2006/chart">
  <cdr:relSizeAnchor xmlns:cdr="http://schemas.openxmlformats.org/drawingml/2006/chartDrawing">
    <cdr:from>
      <cdr:x>0.39576</cdr:x>
      <cdr:y>0.41943</cdr:y>
    </cdr:from>
    <cdr:to>
      <cdr:x>0.59197</cdr:x>
      <cdr:y>0.60023</cdr:y>
    </cdr:to>
    <cdr:sp macro="" textlink="'Skuldbindingar | Obligations'!$B$363">
      <cdr:nvSpPr>
        <cdr:cNvPr id="2" name="TextBox 1">
          <a:extLst xmlns:a="http://schemas.openxmlformats.org/drawingml/2006/main">
            <a:ext uri="{FF2B5EF4-FFF2-40B4-BE49-F238E27FC236}">
              <a16:creationId xmlns:a16="http://schemas.microsoft.com/office/drawing/2014/main" id="{C128CD99-5DD6-6033-F944-5364DBD5E3B6}"/>
            </a:ext>
          </a:extLst>
        </cdr:cNvPr>
        <cdr:cNvSpPr txBox="1"/>
      </cdr:nvSpPr>
      <cdr:spPr>
        <a:xfrm xmlns:a="http://schemas.openxmlformats.org/drawingml/2006/main">
          <a:off x="3191933" y="1710266"/>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B8BCC14C-59F9-4447-8208-438C95756BE1}" type="TxLink">
            <a:rPr lang="en-US" sz="1400" b="1" i="0" u="none" strike="noStrike">
              <a:solidFill>
                <a:srgbClr val="000000"/>
              </a:solidFill>
              <a:latin typeface="Segoe UI"/>
              <a:cs typeface="Segoe UI"/>
            </a:rPr>
            <a:pPr algn="ctr"/>
            <a:t>Emissions from ETS Stationary Industry 2025</a:t>
          </a:fld>
          <a:endParaRPr lang="is-IS" sz="3200">
            <a:solidFill>
              <a:sysClr val="windowText" lastClr="000000"/>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0.39085</cdr:x>
      <cdr:y>0.42367</cdr:y>
    </cdr:from>
    <cdr:to>
      <cdr:x>0.62202</cdr:x>
      <cdr:y>0.60363</cdr:y>
    </cdr:to>
    <cdr:sp macro="" textlink="'Skuldbindingar | Obligations'!$A$363">
      <cdr:nvSpPr>
        <cdr:cNvPr id="2" name="TextBox 1">
          <a:extLst xmlns:a="http://schemas.openxmlformats.org/drawingml/2006/main">
            <a:ext uri="{FF2B5EF4-FFF2-40B4-BE49-F238E27FC236}">
              <a16:creationId xmlns:a16="http://schemas.microsoft.com/office/drawing/2014/main" id="{E4EA300E-9FFD-D8E4-194F-78C54BA67174}"/>
            </a:ext>
          </a:extLst>
        </cdr:cNvPr>
        <cdr:cNvSpPr txBox="1"/>
      </cdr:nvSpPr>
      <cdr:spPr>
        <a:xfrm xmlns:a="http://schemas.openxmlformats.org/drawingml/2006/main">
          <a:off x="2675467" y="1735666"/>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88DE335-AF00-4C62-B158-4E96A11BE5D9}" type="TxLink">
            <a:rPr lang="en-US" sz="1400" b="1" i="0" u="none" strike="noStrike">
              <a:solidFill>
                <a:srgbClr val="000000"/>
              </a:solidFill>
              <a:latin typeface="Segoe UI"/>
              <a:cs typeface="Segoe UI"/>
            </a:rPr>
            <a:pPr algn="ctr"/>
            <a:t>Losun frá ETS staðbundnum iðnaði 2025</a:t>
          </a:fld>
          <a:endParaRPr lang="is-IS" sz="3200">
            <a:solidFill>
              <a:sysClr val="windowText" lastClr="000000"/>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0.38707</cdr:x>
      <cdr:y>0.38194</cdr:y>
    </cdr:from>
    <cdr:to>
      <cdr:x>0.60467</cdr:x>
      <cdr:y>0.64585</cdr:y>
    </cdr:to>
    <cdr:sp macro="" textlink="'Skuldbindingar | Obligations'!#REF!">
      <cdr:nvSpPr>
        <cdr:cNvPr id="2" name="TextBox 1">
          <a:extLst xmlns:a="http://schemas.openxmlformats.org/drawingml/2006/main">
            <a:ext uri="{FF2B5EF4-FFF2-40B4-BE49-F238E27FC236}">
              <a16:creationId xmlns:a16="http://schemas.microsoft.com/office/drawing/2014/main" id="{58A57277-5A25-72BE-51AB-0E4FF1B5258F}"/>
            </a:ext>
          </a:extLst>
        </cdr:cNvPr>
        <cdr:cNvSpPr txBox="1"/>
      </cdr:nvSpPr>
      <cdr:spPr>
        <a:xfrm xmlns:a="http://schemas.openxmlformats.org/drawingml/2006/main">
          <a:off x="3197694" y="1712329"/>
          <a:ext cx="1797648" cy="1183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D78778E-5E53-4CD5-AC40-2A78CC8DA0CF}" type="TxLink">
            <a:rPr lang="en-US" sz="1400" b="1" i="0" u="none" strike="noStrike">
              <a:solidFill>
                <a:sysClr val="windowText" lastClr="000000"/>
              </a:solidFill>
              <a:latin typeface="Segoe UI"/>
              <a:cs typeface="Segoe UI"/>
            </a:rPr>
            <a:pPr algn="ctr"/>
            <a:t>Iceland's Emissions in 2025 according to Obligations</a:t>
          </a:fld>
          <a:endParaRPr lang="is-IS" sz="3200" b="1">
            <a:solidFill>
              <a:sysClr val="windowText" lastClr="000000"/>
            </a:solidFill>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0.50251</cdr:x>
      <cdr:y>0.45992</cdr:y>
    </cdr:from>
    <cdr:to>
      <cdr:x>0.70984</cdr:x>
      <cdr:y>0.63034</cdr:y>
    </cdr:to>
    <cdr:sp macro="" textlink="'Skuldbindingar | Obligations'!$A$130">
      <cdr:nvSpPr>
        <cdr:cNvPr id="4" name="TextBox 1">
          <a:extLst xmlns:a="http://schemas.openxmlformats.org/drawingml/2006/main">
            <a:ext uri="{FF2B5EF4-FFF2-40B4-BE49-F238E27FC236}">
              <a16:creationId xmlns:a16="http://schemas.microsoft.com/office/drawing/2014/main" id="{1ED6050B-0199-F2B8-600C-D83D81F26685}"/>
            </a:ext>
          </a:extLst>
        </cdr:cNvPr>
        <cdr:cNvSpPr txBox="1"/>
      </cdr:nvSpPr>
      <cdr:spPr>
        <a:xfrm xmlns:a="http://schemas.openxmlformats.org/drawingml/2006/main">
          <a:off x="3835400" y="1989667"/>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7685035-6B33-4B0F-8436-283E64980836}" type="TxLink">
            <a:rPr lang="en-US" sz="1400" b="1" i="0" u="none" strike="noStrike">
              <a:solidFill>
                <a:sysClr val="windowText" lastClr="000000"/>
              </a:solidFill>
              <a:latin typeface="Segoe UI"/>
              <a:cs typeface="Segoe UI"/>
            </a:rPr>
            <a:pPr algn="ctr"/>
            <a:t>Samfélagslosun Íslands 2025</a:t>
          </a:fld>
          <a:endParaRPr lang="is-IS" sz="4000">
            <a:solidFill>
              <a:sysClr val="windowText" lastClr="000000"/>
            </a:solidFill>
          </a:endParaRPr>
        </a:p>
      </cdr:txBody>
    </cdr:sp>
  </cdr:relSizeAnchor>
  <cdr:relSizeAnchor xmlns:cdr="http://schemas.openxmlformats.org/drawingml/2006/chartDrawing">
    <cdr:from>
      <cdr:x>0.31317</cdr:x>
      <cdr:y>0.65176</cdr:y>
    </cdr:from>
    <cdr:to>
      <cdr:x>0.44087</cdr:x>
      <cdr:y>0.70929</cdr:y>
    </cdr:to>
    <cdr:cxnSp macro="">
      <cdr:nvCxnSpPr>
        <cdr:cNvPr id="3" name="Bein tengilína 2">
          <a:extLst xmlns:a="http://schemas.openxmlformats.org/drawingml/2006/main">
            <a:ext uri="{FF2B5EF4-FFF2-40B4-BE49-F238E27FC236}">
              <a16:creationId xmlns:a16="http://schemas.microsoft.com/office/drawing/2014/main" id="{6981DCDC-E657-9036-F263-06E5A045FA2E}"/>
            </a:ext>
          </a:extLst>
        </cdr:cNvPr>
        <cdr:cNvCxnSpPr/>
      </cdr:nvCxnSpPr>
      <cdr:spPr>
        <a:xfrm xmlns:a="http://schemas.openxmlformats.org/drawingml/2006/main" flipV="1">
          <a:off x="2598623" y="2833006"/>
          <a:ext cx="1059656" cy="250032"/>
        </a:xfrm>
        <a:prstGeom xmlns:a="http://schemas.openxmlformats.org/drawingml/2006/main" prst="line">
          <a:avLst/>
        </a:prstGeom>
        <a:ln xmlns:a="http://schemas.openxmlformats.org/drawingml/2006/main">
          <a:solidFill>
            <a:schemeClr val="bg1">
              <a:lumMod val="7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c:userShapes xmlns:c="http://schemas.openxmlformats.org/drawingml/2006/chart">
  <cdr:relSizeAnchor xmlns:cdr="http://schemas.openxmlformats.org/drawingml/2006/chartDrawing">
    <cdr:from>
      <cdr:x>0.50283</cdr:x>
      <cdr:y>0.45478</cdr:y>
    </cdr:from>
    <cdr:to>
      <cdr:x>0.71031</cdr:x>
      <cdr:y>0.62299</cdr:y>
    </cdr:to>
    <cdr:sp macro="" textlink="'Skuldbindingar | Obligations'!$B$130">
      <cdr:nvSpPr>
        <cdr:cNvPr id="2" name="TextBox 1">
          <a:extLst xmlns:a="http://schemas.openxmlformats.org/drawingml/2006/main">
            <a:ext uri="{FF2B5EF4-FFF2-40B4-BE49-F238E27FC236}">
              <a16:creationId xmlns:a16="http://schemas.microsoft.com/office/drawing/2014/main" id="{71E9D55A-11F0-0D83-7FBE-405C12E9EED2}"/>
            </a:ext>
          </a:extLst>
        </cdr:cNvPr>
        <cdr:cNvSpPr txBox="1"/>
      </cdr:nvSpPr>
      <cdr:spPr>
        <a:xfrm xmlns:a="http://schemas.openxmlformats.org/drawingml/2006/main">
          <a:off x="3836987" y="1991518"/>
          <a:ext cx="1583267" cy="736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B0E1079-FDE2-413E-8B3C-D4C66A72461F}" type="TxLink">
            <a:rPr lang="en-US" sz="1400" b="1" i="0" u="none" strike="noStrike">
              <a:solidFill>
                <a:sysClr val="windowText" lastClr="000000"/>
              </a:solidFill>
              <a:latin typeface="Segoe UI"/>
              <a:cs typeface="Segoe UI"/>
            </a:rPr>
            <a:pPr algn="ctr"/>
            <a:t>Iceland's ESR Emissions 2025</a:t>
          </a:fld>
          <a:endParaRPr lang="is-IS" sz="4000">
            <a:solidFill>
              <a:sysClr val="windowText" lastClr="000000"/>
            </a:solidFill>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0.75653</cdr:x>
      <cdr:y>0.81249</cdr:y>
    </cdr:from>
    <cdr:to>
      <cdr:x>1</cdr:x>
      <cdr:y>1</cdr:y>
    </cdr:to>
    <cdr:sp macro="" textlink="">
      <cdr:nvSpPr>
        <cdr:cNvPr id="2" name="TextBox 10">
          <a:extLst xmlns:a="http://schemas.openxmlformats.org/drawingml/2006/main">
            <a:ext uri="{FF2B5EF4-FFF2-40B4-BE49-F238E27FC236}">
              <a16:creationId xmlns:a16="http://schemas.microsoft.com/office/drawing/2014/main" id="{E356E1B2-8F27-89F9-6983-CCCE28C4096F}"/>
            </a:ext>
          </a:extLst>
        </cdr:cNvPr>
        <cdr:cNvSpPr txBox="1"/>
      </cdr:nvSpPr>
      <cdr:spPr>
        <a:xfrm xmlns:a="http://schemas.openxmlformats.org/drawingml/2006/main">
          <a:off x="6264068" y="3509957"/>
          <a:ext cx="2015932" cy="810043"/>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is-IS" sz="800" i="1">
              <a:solidFill>
                <a:schemeClr val="bg1">
                  <a:lumMod val="50000"/>
                </a:schemeClr>
              </a:solidFill>
            </a:rPr>
            <a:t>* Árlegar losunarheimildir Íslands í samfélagslosun (miðað er við um áætlaða</a:t>
          </a:r>
          <a:r>
            <a:rPr lang="is-IS" sz="800" i="1" baseline="0">
              <a:solidFill>
                <a:schemeClr val="bg1">
                  <a:lumMod val="50000"/>
                </a:schemeClr>
              </a:solidFill>
            </a:rPr>
            <a:t> kröfu</a:t>
          </a:r>
          <a:r>
            <a:rPr lang="is-IS" sz="800" i="1">
              <a:solidFill>
                <a:schemeClr val="bg1">
                  <a:lumMod val="50000"/>
                </a:schemeClr>
              </a:solidFill>
            </a:rPr>
            <a:t> um 41% samdrátt árið 2030 miðað við 2005).</a:t>
          </a:r>
        </a:p>
      </cdr:txBody>
    </cdr:sp>
  </cdr:relSizeAnchor>
  <cdr:relSizeAnchor xmlns:cdr="http://schemas.openxmlformats.org/drawingml/2006/chartDrawing">
    <cdr:from>
      <cdr:x>0.47579</cdr:x>
      <cdr:y>0.57192</cdr:y>
    </cdr:from>
    <cdr:to>
      <cdr:x>0.47579</cdr:x>
      <cdr:y>0.60213</cdr:y>
    </cdr:to>
    <cdr:cxnSp macro="">
      <cdr:nvCxnSpPr>
        <cdr:cNvPr id="6" name="Straight Connector 5">
          <a:extLst xmlns:a="http://schemas.openxmlformats.org/drawingml/2006/main">
            <a:ext uri="{FF2B5EF4-FFF2-40B4-BE49-F238E27FC236}">
              <a16:creationId xmlns:a16="http://schemas.microsoft.com/office/drawing/2014/main" id="{8184913E-0BAC-3957-1CCE-93F531870600}"/>
            </a:ext>
          </a:extLst>
        </cdr:cNvPr>
        <cdr:cNvCxnSpPr/>
      </cdr:nvCxnSpPr>
      <cdr:spPr>
        <a:xfrm xmlns:a="http://schemas.openxmlformats.org/drawingml/2006/main">
          <a:off x="3940251" y="2439689"/>
          <a:ext cx="0" cy="128870"/>
        </a:xfrm>
        <a:prstGeom xmlns:a="http://schemas.openxmlformats.org/drawingml/2006/main" prst="line">
          <a:avLst/>
        </a:prstGeom>
        <a:ln xmlns:a="http://schemas.openxmlformats.org/drawingml/2006/main" w="12700" cap="rnd">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c:userShapes xmlns:c="http://schemas.openxmlformats.org/drawingml/2006/chart">
  <cdr:relSizeAnchor xmlns:cdr="http://schemas.openxmlformats.org/drawingml/2006/chartDrawing">
    <cdr:from>
      <cdr:x>0.46</cdr:x>
      <cdr:y>0.56757</cdr:y>
    </cdr:from>
    <cdr:to>
      <cdr:x>0.46</cdr:x>
      <cdr:y>0.59778</cdr:y>
    </cdr:to>
    <cdr:cxnSp macro="">
      <cdr:nvCxnSpPr>
        <cdr:cNvPr id="6" name="Straight Connector 5">
          <a:extLst xmlns:a="http://schemas.openxmlformats.org/drawingml/2006/main">
            <a:ext uri="{FF2B5EF4-FFF2-40B4-BE49-F238E27FC236}">
              <a16:creationId xmlns:a16="http://schemas.microsoft.com/office/drawing/2014/main" id="{8184913E-0BAC-3957-1CCE-93F531870600}"/>
            </a:ext>
          </a:extLst>
        </cdr:cNvPr>
        <cdr:cNvCxnSpPr/>
      </cdr:nvCxnSpPr>
      <cdr:spPr>
        <a:xfrm xmlns:a="http://schemas.openxmlformats.org/drawingml/2006/main">
          <a:off x="3810439" y="2421132"/>
          <a:ext cx="0" cy="128870"/>
        </a:xfrm>
        <a:prstGeom xmlns:a="http://schemas.openxmlformats.org/drawingml/2006/main" prst="line">
          <a:avLst/>
        </a:prstGeom>
        <a:ln xmlns:a="http://schemas.openxmlformats.org/drawingml/2006/main" w="12700" cap="rnd">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0.75849</cdr:x>
      <cdr:y>0.80776</cdr:y>
    </cdr:from>
    <cdr:to>
      <cdr:x>1</cdr:x>
      <cdr:y>1</cdr:y>
    </cdr:to>
    <cdr:sp macro="" textlink="">
      <cdr:nvSpPr>
        <cdr:cNvPr id="3" name="TextBox 10">
          <a:extLst xmlns:a="http://schemas.openxmlformats.org/drawingml/2006/main">
            <a:ext uri="{FF2B5EF4-FFF2-40B4-BE49-F238E27FC236}">
              <a16:creationId xmlns:a16="http://schemas.microsoft.com/office/drawing/2014/main" id="{32D6027A-1A44-1BAC-1E9B-C3318553658E}"/>
            </a:ext>
          </a:extLst>
        </cdr:cNvPr>
        <cdr:cNvSpPr txBox="1"/>
      </cdr:nvSpPr>
      <cdr:spPr>
        <a:xfrm xmlns:a="http://schemas.openxmlformats.org/drawingml/2006/main">
          <a:off x="6394132" y="3401473"/>
          <a:ext cx="2034570" cy="8095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is-IS" sz="800" i="1">
              <a:solidFill>
                <a:schemeClr val="bg1">
                  <a:lumMod val="50000"/>
                </a:schemeClr>
              </a:solidFill>
            </a:rPr>
            <a:t>* Iceland's annual emission allocations for emissions falling under the scope of the ESR (assuming 41% emission reductions by 2030 compared to 2005).</a:t>
          </a:r>
        </a:p>
      </cdr:txBody>
    </cdr:sp>
  </cdr:relSizeAnchor>
</c:userShapes>
</file>

<file path=xl/drawings/drawing9.xml><?xml version="1.0" encoding="utf-8"?>
<c:userShapes xmlns:c="http://schemas.openxmlformats.org/drawingml/2006/chart">
  <cdr:relSizeAnchor xmlns:cdr="http://schemas.openxmlformats.org/drawingml/2006/chartDrawing">
    <cdr:from>
      <cdr:x>0.33578</cdr:x>
      <cdr:y>0.49977</cdr:y>
    </cdr:from>
    <cdr:to>
      <cdr:x>0.47145</cdr:x>
      <cdr:y>0.74687</cdr:y>
    </cdr:to>
    <cdr:pic>
      <cdr:nvPicPr>
        <cdr:cNvPr id="2" name="Graphic 4">
          <a:extLst xmlns:a="http://schemas.openxmlformats.org/drawingml/2006/main">
            <a:ext uri="{FF2B5EF4-FFF2-40B4-BE49-F238E27FC236}">
              <a16:creationId xmlns:a16="http://schemas.microsoft.com/office/drawing/2014/main" id="{D94D39BC-DD05-EC38-80B1-C408F6FC079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912613" y="2184400"/>
          <a:ext cx="1176787" cy="1080000"/>
        </a:xfrm>
        <a:prstGeom xmlns:a="http://schemas.openxmlformats.org/drawingml/2006/main" prst="rect">
          <a:avLst/>
        </a:prstGeom>
      </cdr:spPr>
    </cdr:pic>
  </cdr:relSizeAnchor>
  <cdr:relSizeAnchor xmlns:cdr="http://schemas.openxmlformats.org/drawingml/2006/chartDrawing">
    <cdr:from>
      <cdr:x>0.74305</cdr:x>
      <cdr:y>0.71223</cdr:y>
    </cdr:from>
    <cdr:to>
      <cdr:x>0.87871</cdr:x>
      <cdr:y>0.95932</cdr:y>
    </cdr:to>
    <cdr:pic>
      <cdr:nvPicPr>
        <cdr:cNvPr id="3" name="Graphic 6">
          <a:extLst xmlns:a="http://schemas.openxmlformats.org/drawingml/2006/main">
            <a:ext uri="{FF2B5EF4-FFF2-40B4-BE49-F238E27FC236}">
              <a16:creationId xmlns:a16="http://schemas.microsoft.com/office/drawing/2014/main" id="{FA6E0BB1-3DC7-3A66-269E-31574E8233D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445251" y="3113001"/>
          <a:ext cx="1176787" cy="1080000"/>
        </a:xfrm>
        <a:prstGeom xmlns:a="http://schemas.openxmlformats.org/drawingml/2006/main" prst="rect">
          <a:avLst/>
        </a:prstGeom>
      </cdr:spPr>
    </cdr:pic>
  </cdr:relSizeAnchor>
  <cdr:relSizeAnchor xmlns:cdr="http://schemas.openxmlformats.org/drawingml/2006/chartDrawing">
    <cdr:from>
      <cdr:x>0.76354</cdr:x>
      <cdr:y>0.09879</cdr:y>
    </cdr:from>
    <cdr:to>
      <cdr:x>0.89921</cdr:x>
      <cdr:y>0.34589</cdr:y>
    </cdr:to>
    <cdr:pic>
      <cdr:nvPicPr>
        <cdr:cNvPr id="4" name="Graphic 8">
          <a:extLst xmlns:a="http://schemas.openxmlformats.org/drawingml/2006/main">
            <a:ext uri="{FF2B5EF4-FFF2-40B4-BE49-F238E27FC236}">
              <a16:creationId xmlns:a16="http://schemas.microsoft.com/office/drawing/2014/main" id="{A8E1221B-CF8B-109D-A5DC-9CD1D567CC7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extLst>
            <a:ext uri="{96DAC541-7B7A-43D3-8B79-37D633B846F1}">
              <asvg:svgBlip xmlns:asvg="http://schemas.microsoft.com/office/drawing/2016/SVG/main" r:embed="rId6"/>
            </a:ext>
          </a:extLst>
        </a:blip>
        <a:stretch xmlns:a="http://schemas.openxmlformats.org/drawingml/2006/main">
          <a:fillRect/>
        </a:stretch>
      </cdr:blipFill>
      <cdr:spPr>
        <a:xfrm xmlns:a="http://schemas.openxmlformats.org/drawingml/2006/main">
          <a:off x="6623051" y="431800"/>
          <a:ext cx="1176787" cy="1080000"/>
        </a:xfrm>
        <a:prstGeom xmlns:a="http://schemas.openxmlformats.org/drawingml/2006/main" prst="rect">
          <a:avLst/>
        </a:prstGeom>
      </cdr:spPr>
    </cdr:pic>
  </cdr:relSizeAnchor>
</c:userShapes>
</file>

<file path=xl/drawings/drawing10.xml><?xml version="1.0" encoding="utf-8"?>
<c:userShapes xmlns:c="http://schemas.openxmlformats.org/drawingml/2006/chart">
  <cdr:relSizeAnchor xmlns:cdr="http://schemas.openxmlformats.org/drawingml/2006/chartDrawing">
    <cdr:from>
      <cdr:x>0.33578</cdr:x>
      <cdr:y>0.49977</cdr:y>
    </cdr:from>
    <cdr:to>
      <cdr:x>0.47145</cdr:x>
      <cdr:y>0.74687</cdr:y>
    </cdr:to>
    <cdr:pic>
      <cdr:nvPicPr>
        <cdr:cNvPr id="2" name="Graphic 4">
          <a:extLst xmlns:a="http://schemas.openxmlformats.org/drawingml/2006/main">
            <a:ext uri="{FF2B5EF4-FFF2-40B4-BE49-F238E27FC236}">
              <a16:creationId xmlns:a16="http://schemas.microsoft.com/office/drawing/2014/main" id="{D94D39BC-DD05-EC38-80B1-C408F6FC079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912613" y="2184400"/>
          <a:ext cx="1176787" cy="1080000"/>
        </a:xfrm>
        <a:prstGeom xmlns:a="http://schemas.openxmlformats.org/drawingml/2006/main" prst="rect">
          <a:avLst/>
        </a:prstGeom>
      </cdr:spPr>
    </cdr:pic>
  </cdr:relSizeAnchor>
  <cdr:relSizeAnchor xmlns:cdr="http://schemas.openxmlformats.org/drawingml/2006/chartDrawing">
    <cdr:from>
      <cdr:x>0.74305</cdr:x>
      <cdr:y>0.71223</cdr:y>
    </cdr:from>
    <cdr:to>
      <cdr:x>0.87871</cdr:x>
      <cdr:y>0.95932</cdr:y>
    </cdr:to>
    <cdr:pic>
      <cdr:nvPicPr>
        <cdr:cNvPr id="3" name="Graphic 6">
          <a:extLst xmlns:a="http://schemas.openxmlformats.org/drawingml/2006/main">
            <a:ext uri="{FF2B5EF4-FFF2-40B4-BE49-F238E27FC236}">
              <a16:creationId xmlns:a16="http://schemas.microsoft.com/office/drawing/2014/main" id="{FA6E0BB1-3DC7-3A66-269E-31574E8233D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445251" y="3113001"/>
          <a:ext cx="1176787" cy="1080000"/>
        </a:xfrm>
        <a:prstGeom xmlns:a="http://schemas.openxmlformats.org/drawingml/2006/main" prst="rect">
          <a:avLst/>
        </a:prstGeom>
      </cdr:spPr>
    </cdr:pic>
  </cdr:relSizeAnchor>
  <cdr:relSizeAnchor xmlns:cdr="http://schemas.openxmlformats.org/drawingml/2006/chartDrawing">
    <cdr:from>
      <cdr:x>0.76354</cdr:x>
      <cdr:y>0.09879</cdr:y>
    </cdr:from>
    <cdr:to>
      <cdr:x>0.89921</cdr:x>
      <cdr:y>0.34589</cdr:y>
    </cdr:to>
    <cdr:pic>
      <cdr:nvPicPr>
        <cdr:cNvPr id="4" name="Graphic 8">
          <a:extLst xmlns:a="http://schemas.openxmlformats.org/drawingml/2006/main">
            <a:ext uri="{FF2B5EF4-FFF2-40B4-BE49-F238E27FC236}">
              <a16:creationId xmlns:a16="http://schemas.microsoft.com/office/drawing/2014/main" id="{A8E1221B-CF8B-109D-A5DC-9CD1D567CC7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extLst>
            <a:ext uri="{96DAC541-7B7A-43D3-8B79-37D633B846F1}">
              <asvg:svgBlip xmlns:asvg="http://schemas.microsoft.com/office/drawing/2016/SVG/main" r:embed="rId6"/>
            </a:ext>
          </a:extLst>
        </a:blip>
        <a:stretch xmlns:a="http://schemas.openxmlformats.org/drawingml/2006/main">
          <a:fillRect/>
        </a:stretch>
      </cdr:blipFill>
      <cdr:spPr>
        <a:xfrm xmlns:a="http://schemas.openxmlformats.org/drawingml/2006/main">
          <a:off x="6623051" y="431800"/>
          <a:ext cx="1176787" cy="1080000"/>
        </a:xfrm>
        <a:prstGeom xmlns:a="http://schemas.openxmlformats.org/drawingml/2006/main" prst="rect">
          <a:avLst/>
        </a:prstGeom>
      </cdr:spPr>
    </cdr:pic>
  </cdr:relSizeAnchor>
</c:userShapes>
</file>

<file path=xl/drawings/drawing11.xml><?xml version="1.0" encoding="utf-8"?>
<xdr:wsDr xmlns:xdr="http://schemas.openxmlformats.org/drawingml/2006/spreadsheetDrawing" xmlns:a="http://schemas.openxmlformats.org/drawingml/2006/main">
  <xdr:oneCellAnchor>
    <xdr:from>
      <xdr:col>29</xdr:col>
      <xdr:colOff>1458685</xdr:colOff>
      <xdr:row>594</xdr:row>
      <xdr:rowOff>0</xdr:rowOff>
    </xdr:from>
    <xdr:ext cx="8280000" cy="4320000"/>
    <xdr:graphicFrame macro="">
      <xdr:nvGraphicFramePr>
        <xdr:cNvPr id="12" name="Chart 11">
          <a:extLst>
            <a:ext uri="{FF2B5EF4-FFF2-40B4-BE49-F238E27FC236}">
              <a16:creationId xmlns:a16="http://schemas.microsoft.com/office/drawing/2014/main" id="{5FE2B36D-4C31-494B-9C4A-E1510802E55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24</xdr:col>
      <xdr:colOff>0</xdr:colOff>
      <xdr:row>779</xdr:row>
      <xdr:rowOff>0</xdr:rowOff>
    </xdr:from>
    <xdr:ext cx="8280000" cy="4320000"/>
    <xdr:graphicFrame macro="">
      <xdr:nvGraphicFramePr>
        <xdr:cNvPr id="5" name="Chart 4">
          <a:extLst>
            <a:ext uri="{FF2B5EF4-FFF2-40B4-BE49-F238E27FC236}">
              <a16:creationId xmlns:a16="http://schemas.microsoft.com/office/drawing/2014/main" id="{95A17152-7413-43A4-8272-1BB665FB19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twoCellAnchor editAs="oneCell">
    <xdr:from>
      <xdr:col>4</xdr:col>
      <xdr:colOff>1812</xdr:colOff>
      <xdr:row>331</xdr:row>
      <xdr:rowOff>215899</xdr:rowOff>
    </xdr:from>
    <xdr:to>
      <xdr:col>11</xdr:col>
      <xdr:colOff>496712</xdr:colOff>
      <xdr:row>352</xdr:row>
      <xdr:rowOff>1999</xdr:rowOff>
    </xdr:to>
    <xdr:graphicFrame macro="">
      <xdr:nvGraphicFramePr>
        <xdr:cNvPr id="45" name="Chart 44">
          <a:extLst>
            <a:ext uri="{FF2B5EF4-FFF2-40B4-BE49-F238E27FC236}">
              <a16:creationId xmlns:a16="http://schemas.microsoft.com/office/drawing/2014/main" id="{6C45680A-984E-4E10-AD72-DF149BC960F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-1</xdr:colOff>
      <xdr:row>25</xdr:row>
      <xdr:rowOff>163284</xdr:rowOff>
    </xdr:from>
    <xdr:to>
      <xdr:col>11</xdr:col>
      <xdr:colOff>485828</xdr:colOff>
      <xdr:row>46</xdr:row>
      <xdr:rowOff>96342</xdr:rowOff>
    </xdr:to>
    <xdr:graphicFrame macro="">
      <xdr:nvGraphicFramePr>
        <xdr:cNvPr id="15" name="Chart 14">
          <a:extLst>
            <a:ext uri="{FF2B5EF4-FFF2-40B4-BE49-F238E27FC236}">
              <a16:creationId xmlns:a16="http://schemas.microsoft.com/office/drawing/2014/main" id="{43E4B3AC-C409-4BB8-9877-6621B8814B2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4</xdr:col>
      <xdr:colOff>7823</xdr:colOff>
      <xdr:row>257</xdr:row>
      <xdr:rowOff>75452</xdr:rowOff>
    </xdr:from>
    <xdr:ext cx="8280000" cy="4320000"/>
    <xdr:graphicFrame macro="">
      <xdr:nvGraphicFramePr>
        <xdr:cNvPr id="34" name="Chart 33">
          <a:extLst>
            <a:ext uri="{FF2B5EF4-FFF2-40B4-BE49-F238E27FC236}">
              <a16:creationId xmlns:a16="http://schemas.microsoft.com/office/drawing/2014/main" id="{D6D97424-A104-4C70-B287-BCDA0A42ADD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twoCellAnchor editAs="oneCell">
    <xdr:from>
      <xdr:col>4</xdr:col>
      <xdr:colOff>0</xdr:colOff>
      <xdr:row>367</xdr:row>
      <xdr:rowOff>0</xdr:rowOff>
    </xdr:from>
    <xdr:to>
      <xdr:col>11</xdr:col>
      <xdr:colOff>494900</xdr:colOff>
      <xdr:row>387</xdr:row>
      <xdr:rowOff>78200</xdr:rowOff>
    </xdr:to>
    <xdr:graphicFrame macro="">
      <xdr:nvGraphicFramePr>
        <xdr:cNvPr id="53" name="Chart 52">
          <a:extLst>
            <a:ext uri="{FF2B5EF4-FFF2-40B4-BE49-F238E27FC236}">
              <a16:creationId xmlns:a16="http://schemas.microsoft.com/office/drawing/2014/main" id="{B808B6BA-CDD3-41A1-B0D7-02B2B43439A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23</xdr:col>
      <xdr:colOff>696684</xdr:colOff>
      <xdr:row>49</xdr:row>
      <xdr:rowOff>215899</xdr:rowOff>
    </xdr:from>
    <xdr:to>
      <xdr:col>29</xdr:col>
      <xdr:colOff>747083</xdr:colOff>
      <xdr:row>69</xdr:row>
      <xdr:rowOff>192499</xdr:rowOff>
    </xdr:to>
    <xdr:graphicFrame macro="">
      <xdr:nvGraphicFramePr>
        <xdr:cNvPr id="81" name="Chart 80">
          <a:extLst>
            <a:ext uri="{FF2B5EF4-FFF2-40B4-BE49-F238E27FC236}">
              <a16:creationId xmlns:a16="http://schemas.microsoft.com/office/drawing/2014/main" id="{22B9D740-F333-486D-A88A-6F603422D9A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4</xdr:col>
      <xdr:colOff>0</xdr:colOff>
      <xdr:row>390</xdr:row>
      <xdr:rowOff>0</xdr:rowOff>
    </xdr:from>
    <xdr:ext cx="8280000" cy="4320000"/>
    <xdr:graphicFrame macro="">
      <xdr:nvGraphicFramePr>
        <xdr:cNvPr id="153" name="Chart 152">
          <a:extLst>
            <a:ext uri="{FF2B5EF4-FFF2-40B4-BE49-F238E27FC236}">
              <a16:creationId xmlns:a16="http://schemas.microsoft.com/office/drawing/2014/main" id="{F358B946-E4AF-46F5-A2B9-9FBB0D0B3A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oneCellAnchor>
  <xdr:twoCellAnchor editAs="oneCell">
    <xdr:from>
      <xdr:col>4</xdr:col>
      <xdr:colOff>6348</xdr:colOff>
      <xdr:row>50</xdr:row>
      <xdr:rowOff>0</xdr:rowOff>
    </xdr:from>
    <xdr:to>
      <xdr:col>11</xdr:col>
      <xdr:colOff>501248</xdr:colOff>
      <xdr:row>69</xdr:row>
      <xdr:rowOff>192500</xdr:rowOff>
    </xdr:to>
    <xdr:graphicFrame macro="">
      <xdr:nvGraphicFramePr>
        <xdr:cNvPr id="6" name="Chart 5">
          <a:extLst>
            <a:ext uri="{FF2B5EF4-FFF2-40B4-BE49-F238E27FC236}">
              <a16:creationId xmlns:a16="http://schemas.microsoft.com/office/drawing/2014/main" id="{433DE4C6-D312-4C8F-BFE2-9FFC0ABE9B7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23</xdr:col>
      <xdr:colOff>696684</xdr:colOff>
      <xdr:row>25</xdr:row>
      <xdr:rowOff>0</xdr:rowOff>
    </xdr:from>
    <xdr:to>
      <xdr:col>29</xdr:col>
      <xdr:colOff>768855</xdr:colOff>
      <xdr:row>45</xdr:row>
      <xdr:rowOff>150772</xdr:rowOff>
    </xdr:to>
    <xdr:graphicFrame macro="">
      <xdr:nvGraphicFramePr>
        <xdr:cNvPr id="2" name="Chart 1">
          <a:extLst>
            <a:ext uri="{FF2B5EF4-FFF2-40B4-BE49-F238E27FC236}">
              <a16:creationId xmlns:a16="http://schemas.microsoft.com/office/drawing/2014/main" id="{68343ACC-55ED-4294-9555-E07F5F15D1D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29</xdr:col>
      <xdr:colOff>167640</xdr:colOff>
      <xdr:row>26</xdr:row>
      <xdr:rowOff>0</xdr:rowOff>
    </xdr:from>
    <xdr:to>
      <xdr:col>35</xdr:col>
      <xdr:colOff>313291</xdr:colOff>
      <xdr:row>47</xdr:row>
      <xdr:rowOff>33750</xdr:rowOff>
    </xdr:to>
    <xdr:graphicFrame macro="">
      <xdr:nvGraphicFramePr>
        <xdr:cNvPr id="11" name="Chart 10">
          <a:extLst>
            <a:ext uri="{FF2B5EF4-FFF2-40B4-BE49-F238E27FC236}">
              <a16:creationId xmlns:a16="http://schemas.microsoft.com/office/drawing/2014/main" id="{A45ED4A8-F94A-4E17-9125-FF8EAAEDF92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3</xdr:col>
      <xdr:colOff>393699</xdr:colOff>
      <xdr:row>158</xdr:row>
      <xdr:rowOff>0</xdr:rowOff>
    </xdr:from>
    <xdr:to>
      <xdr:col>11</xdr:col>
      <xdr:colOff>494899</xdr:colOff>
      <xdr:row>178</xdr:row>
      <xdr:rowOff>2000</xdr:rowOff>
    </xdr:to>
    <xdr:graphicFrame macro="">
      <xdr:nvGraphicFramePr>
        <xdr:cNvPr id="23" name="Chart 22">
          <a:extLst>
            <a:ext uri="{FF2B5EF4-FFF2-40B4-BE49-F238E27FC236}">
              <a16:creationId xmlns:a16="http://schemas.microsoft.com/office/drawing/2014/main" id="{E029E2EA-16AF-4608-A15A-07D59FF8CD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24</xdr:col>
      <xdr:colOff>0</xdr:colOff>
      <xdr:row>158</xdr:row>
      <xdr:rowOff>0</xdr:rowOff>
    </xdr:from>
    <xdr:to>
      <xdr:col>29</xdr:col>
      <xdr:colOff>748899</xdr:colOff>
      <xdr:row>178</xdr:row>
      <xdr:rowOff>2000</xdr:rowOff>
    </xdr:to>
    <xdr:graphicFrame macro="">
      <xdr:nvGraphicFramePr>
        <xdr:cNvPr id="24" name="Chart 23">
          <a:extLst>
            <a:ext uri="{FF2B5EF4-FFF2-40B4-BE49-F238E27FC236}">
              <a16:creationId xmlns:a16="http://schemas.microsoft.com/office/drawing/2014/main" id="{C163F727-C1FC-4AB1-8AED-539EF334CA1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oneCellAnchor>
    <xdr:from>
      <xdr:col>24</xdr:col>
      <xdr:colOff>0</xdr:colOff>
      <xdr:row>257</xdr:row>
      <xdr:rowOff>0</xdr:rowOff>
    </xdr:from>
    <xdr:ext cx="8280000" cy="4320000"/>
    <xdr:graphicFrame macro="">
      <xdr:nvGraphicFramePr>
        <xdr:cNvPr id="61" name="Chart 60">
          <a:extLst>
            <a:ext uri="{FF2B5EF4-FFF2-40B4-BE49-F238E27FC236}">
              <a16:creationId xmlns:a16="http://schemas.microsoft.com/office/drawing/2014/main" id="{52D1696F-BD45-466A-8623-365E4B69A11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oneCellAnchor>
  <xdr:oneCellAnchor>
    <xdr:from>
      <xdr:col>23</xdr:col>
      <xdr:colOff>647700</xdr:colOff>
      <xdr:row>287</xdr:row>
      <xdr:rowOff>0</xdr:rowOff>
    </xdr:from>
    <xdr:ext cx="9004300" cy="4320000"/>
    <xdr:graphicFrame macro="">
      <xdr:nvGraphicFramePr>
        <xdr:cNvPr id="67" name="Chart 66">
          <a:extLst>
            <a:ext uri="{FF2B5EF4-FFF2-40B4-BE49-F238E27FC236}">
              <a16:creationId xmlns:a16="http://schemas.microsoft.com/office/drawing/2014/main" id="{A8CEF1A2-7C6D-4F2F-B2BB-906C639890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oneCellAnchor>
  <xdr:oneCellAnchor>
    <xdr:from>
      <xdr:col>4</xdr:col>
      <xdr:colOff>-1</xdr:colOff>
      <xdr:row>434</xdr:row>
      <xdr:rowOff>0</xdr:rowOff>
    </xdr:from>
    <xdr:ext cx="8280000" cy="4320000"/>
    <xdr:graphicFrame macro="">
      <xdr:nvGraphicFramePr>
        <xdr:cNvPr id="79" name="Chart 78">
          <a:extLst>
            <a:ext uri="{FF2B5EF4-FFF2-40B4-BE49-F238E27FC236}">
              <a16:creationId xmlns:a16="http://schemas.microsoft.com/office/drawing/2014/main" id="{475D7697-D5B2-43B1-9FE4-FBC6F8661A0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oneCellAnchor>
  <xdr:oneCellAnchor>
    <xdr:from>
      <xdr:col>23</xdr:col>
      <xdr:colOff>698499</xdr:colOff>
      <xdr:row>434</xdr:row>
      <xdr:rowOff>0</xdr:rowOff>
    </xdr:from>
    <xdr:ext cx="8280000" cy="4320000"/>
    <xdr:graphicFrame macro="">
      <xdr:nvGraphicFramePr>
        <xdr:cNvPr id="88" name="Chart 87">
          <a:extLst>
            <a:ext uri="{FF2B5EF4-FFF2-40B4-BE49-F238E27FC236}">
              <a16:creationId xmlns:a16="http://schemas.microsoft.com/office/drawing/2014/main" id="{70E74C2A-86E2-4C30-B58B-2F84943FDF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oneCellAnchor>
  <xdr:oneCellAnchor>
    <xdr:from>
      <xdr:col>30</xdr:col>
      <xdr:colOff>0</xdr:colOff>
      <xdr:row>434</xdr:row>
      <xdr:rowOff>0</xdr:rowOff>
    </xdr:from>
    <xdr:ext cx="8280000" cy="4320000"/>
    <xdr:graphicFrame macro="">
      <xdr:nvGraphicFramePr>
        <xdr:cNvPr id="89" name="Chart 88">
          <a:extLst>
            <a:ext uri="{FF2B5EF4-FFF2-40B4-BE49-F238E27FC236}">
              <a16:creationId xmlns:a16="http://schemas.microsoft.com/office/drawing/2014/main" id="{E4F6ED2C-B961-4CF8-AC95-75C5E001D8A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4</xdr:col>
      <xdr:colOff>0</xdr:colOff>
      <xdr:row>594</xdr:row>
      <xdr:rowOff>0</xdr:rowOff>
    </xdr:from>
    <xdr:ext cx="8280000" cy="4320000"/>
    <xdr:graphicFrame macro="">
      <xdr:nvGraphicFramePr>
        <xdr:cNvPr id="106" name="Chart 105">
          <a:extLst>
            <a:ext uri="{FF2B5EF4-FFF2-40B4-BE49-F238E27FC236}">
              <a16:creationId xmlns:a16="http://schemas.microsoft.com/office/drawing/2014/main" id="{FDC36912-0491-439F-AB11-5D0F2B7478F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oneCellAnchor>
  <xdr:oneCellAnchor>
    <xdr:from>
      <xdr:col>3</xdr:col>
      <xdr:colOff>393699</xdr:colOff>
      <xdr:row>654</xdr:row>
      <xdr:rowOff>32657</xdr:rowOff>
    </xdr:from>
    <xdr:ext cx="8280000" cy="4320000"/>
    <xdr:graphicFrame macro="">
      <xdr:nvGraphicFramePr>
        <xdr:cNvPr id="111" name="Chart 110">
          <a:extLst>
            <a:ext uri="{FF2B5EF4-FFF2-40B4-BE49-F238E27FC236}">
              <a16:creationId xmlns:a16="http://schemas.microsoft.com/office/drawing/2014/main" id="{19943769-1945-4570-A44E-71F9F9A871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oneCellAnchor>
  <xdr:oneCellAnchor>
    <xdr:from>
      <xdr:col>4</xdr:col>
      <xdr:colOff>0</xdr:colOff>
      <xdr:row>699</xdr:row>
      <xdr:rowOff>0</xdr:rowOff>
    </xdr:from>
    <xdr:ext cx="8280000" cy="4320000"/>
    <xdr:graphicFrame macro="">
      <xdr:nvGraphicFramePr>
        <xdr:cNvPr id="116" name="Chart 115">
          <a:extLst>
            <a:ext uri="{FF2B5EF4-FFF2-40B4-BE49-F238E27FC236}">
              <a16:creationId xmlns:a16="http://schemas.microsoft.com/office/drawing/2014/main" id="{A8CDA3AA-1DE5-4682-AB4B-C7842C4E153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oneCellAnchor>
  <xdr:twoCellAnchor editAs="oneCell">
    <xdr:from>
      <xdr:col>4</xdr:col>
      <xdr:colOff>0</xdr:colOff>
      <xdr:row>734</xdr:row>
      <xdr:rowOff>0</xdr:rowOff>
    </xdr:from>
    <xdr:to>
      <xdr:col>10</xdr:col>
      <xdr:colOff>786618</xdr:colOff>
      <xdr:row>754</xdr:row>
      <xdr:rowOff>134355</xdr:rowOff>
    </xdr:to>
    <xdr:graphicFrame macro="">
      <xdr:nvGraphicFramePr>
        <xdr:cNvPr id="122" name="Chart 121">
          <a:extLst>
            <a:ext uri="{FF2B5EF4-FFF2-40B4-BE49-F238E27FC236}">
              <a16:creationId xmlns:a16="http://schemas.microsoft.com/office/drawing/2014/main" id="{EBF93F62-DA64-4F8A-AF11-F03500A4FB7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oneCellAnchor>
    <xdr:from>
      <xdr:col>4</xdr:col>
      <xdr:colOff>-1</xdr:colOff>
      <xdr:row>758</xdr:row>
      <xdr:rowOff>0</xdr:rowOff>
    </xdr:from>
    <xdr:ext cx="8280000" cy="4320000"/>
    <xdr:graphicFrame macro="">
      <xdr:nvGraphicFramePr>
        <xdr:cNvPr id="123" name="Chart 122">
          <a:extLst>
            <a:ext uri="{FF2B5EF4-FFF2-40B4-BE49-F238E27FC236}">
              <a16:creationId xmlns:a16="http://schemas.microsoft.com/office/drawing/2014/main" id="{5A66A099-E12C-419E-846F-FD763DDE82F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oneCellAnchor>
  <xdr:oneCellAnchor>
    <xdr:from>
      <xdr:col>4</xdr:col>
      <xdr:colOff>-1</xdr:colOff>
      <xdr:row>860</xdr:row>
      <xdr:rowOff>0</xdr:rowOff>
    </xdr:from>
    <xdr:ext cx="8280000" cy="4320000"/>
    <xdr:graphicFrame macro="">
      <xdr:nvGraphicFramePr>
        <xdr:cNvPr id="135" name="Chart 134">
          <a:extLst>
            <a:ext uri="{FF2B5EF4-FFF2-40B4-BE49-F238E27FC236}">
              <a16:creationId xmlns:a16="http://schemas.microsoft.com/office/drawing/2014/main" id="{17649729-6C3F-400B-B4E2-B93D777BEB5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oneCellAnchor>
  <xdr:oneCellAnchor>
    <xdr:from>
      <xdr:col>4</xdr:col>
      <xdr:colOff>-1</xdr:colOff>
      <xdr:row>882</xdr:row>
      <xdr:rowOff>217713</xdr:rowOff>
    </xdr:from>
    <xdr:ext cx="8280000" cy="4320000"/>
    <xdr:graphicFrame macro="">
      <xdr:nvGraphicFramePr>
        <xdr:cNvPr id="137" name="Chart 136">
          <a:extLst>
            <a:ext uri="{FF2B5EF4-FFF2-40B4-BE49-F238E27FC236}">
              <a16:creationId xmlns:a16="http://schemas.microsoft.com/office/drawing/2014/main" id="{891443F7-A11E-45E7-B976-72CAEF3E5E0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oneCellAnchor>
  <xdr:oneCellAnchor>
    <xdr:from>
      <xdr:col>4</xdr:col>
      <xdr:colOff>0</xdr:colOff>
      <xdr:row>630</xdr:row>
      <xdr:rowOff>0</xdr:rowOff>
    </xdr:from>
    <xdr:ext cx="7867966" cy="4320000"/>
    <xdr:graphicFrame macro="">
      <xdr:nvGraphicFramePr>
        <xdr:cNvPr id="3" name="Chart 2">
          <a:extLst>
            <a:ext uri="{FF2B5EF4-FFF2-40B4-BE49-F238E27FC236}">
              <a16:creationId xmlns:a16="http://schemas.microsoft.com/office/drawing/2014/main" id="{67F53C90-A048-4E4B-81A1-90A9B972BF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oneCellAnchor>
  <xdr:oneCellAnchor>
    <xdr:from>
      <xdr:col>4</xdr:col>
      <xdr:colOff>0</xdr:colOff>
      <xdr:row>803</xdr:row>
      <xdr:rowOff>0</xdr:rowOff>
    </xdr:from>
    <xdr:ext cx="8280000" cy="4320000"/>
    <xdr:graphicFrame macro="">
      <xdr:nvGraphicFramePr>
        <xdr:cNvPr id="8" name="Chart 7">
          <a:extLst>
            <a:ext uri="{FF2B5EF4-FFF2-40B4-BE49-F238E27FC236}">
              <a16:creationId xmlns:a16="http://schemas.microsoft.com/office/drawing/2014/main" id="{5834EA0D-1136-4CA3-907F-3E4AEB1754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oneCellAnchor>
  <xdr:twoCellAnchor editAs="oneCell">
    <xdr:from>
      <xdr:col>23</xdr:col>
      <xdr:colOff>698499</xdr:colOff>
      <xdr:row>367</xdr:row>
      <xdr:rowOff>0</xdr:rowOff>
    </xdr:from>
    <xdr:to>
      <xdr:col>29</xdr:col>
      <xdr:colOff>748898</xdr:colOff>
      <xdr:row>387</xdr:row>
      <xdr:rowOff>78200</xdr:rowOff>
    </xdr:to>
    <xdr:graphicFrame macro="">
      <xdr:nvGraphicFramePr>
        <xdr:cNvPr id="19" name="Chart 18">
          <a:extLst>
            <a:ext uri="{FF2B5EF4-FFF2-40B4-BE49-F238E27FC236}">
              <a16:creationId xmlns:a16="http://schemas.microsoft.com/office/drawing/2014/main" id="{7873F6B7-B302-41F5-B757-25F849AEE38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oneCellAnchor>
    <xdr:from>
      <xdr:col>24</xdr:col>
      <xdr:colOff>0</xdr:colOff>
      <xdr:row>594</xdr:row>
      <xdr:rowOff>0</xdr:rowOff>
    </xdr:from>
    <xdr:ext cx="8280000" cy="4320000"/>
    <xdr:graphicFrame macro="">
      <xdr:nvGraphicFramePr>
        <xdr:cNvPr id="31" name="Chart 30">
          <a:extLst>
            <a:ext uri="{FF2B5EF4-FFF2-40B4-BE49-F238E27FC236}">
              <a16:creationId xmlns:a16="http://schemas.microsoft.com/office/drawing/2014/main" id="{A8A5F57C-23BA-4B3C-9E2B-46D5E95C4E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oneCellAnchor>
  <xdr:twoCellAnchor editAs="oneCell">
    <xdr:from>
      <xdr:col>24</xdr:col>
      <xdr:colOff>0</xdr:colOff>
      <xdr:row>734</xdr:row>
      <xdr:rowOff>0</xdr:rowOff>
    </xdr:from>
    <xdr:to>
      <xdr:col>29</xdr:col>
      <xdr:colOff>249681</xdr:colOff>
      <xdr:row>754</xdr:row>
      <xdr:rowOff>131361</xdr:rowOff>
    </xdr:to>
    <xdr:graphicFrame macro="">
      <xdr:nvGraphicFramePr>
        <xdr:cNvPr id="42" name="Chart 41">
          <a:extLst>
            <a:ext uri="{FF2B5EF4-FFF2-40B4-BE49-F238E27FC236}">
              <a16:creationId xmlns:a16="http://schemas.microsoft.com/office/drawing/2014/main" id="{792F73C8-6190-49E3-A124-16F3C291903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24</xdr:col>
      <xdr:colOff>0</xdr:colOff>
      <xdr:row>802</xdr:row>
      <xdr:rowOff>190500</xdr:rowOff>
    </xdr:from>
    <xdr:ext cx="8280000" cy="4320000"/>
    <xdr:graphicFrame macro="">
      <xdr:nvGraphicFramePr>
        <xdr:cNvPr id="48" name="Chart 47">
          <a:extLst>
            <a:ext uri="{FF2B5EF4-FFF2-40B4-BE49-F238E27FC236}">
              <a16:creationId xmlns:a16="http://schemas.microsoft.com/office/drawing/2014/main" id="{1742C964-0B35-4F46-957B-49D0449D0E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oneCellAnchor>
    <xdr:from>
      <xdr:col>24</xdr:col>
      <xdr:colOff>0</xdr:colOff>
      <xdr:row>837</xdr:row>
      <xdr:rowOff>0</xdr:rowOff>
    </xdr:from>
    <xdr:ext cx="7809412" cy="4268406"/>
    <xdr:graphicFrame macro="">
      <xdr:nvGraphicFramePr>
        <xdr:cNvPr id="54" name="Chart 53">
          <a:extLst>
            <a:ext uri="{FF2B5EF4-FFF2-40B4-BE49-F238E27FC236}">
              <a16:creationId xmlns:a16="http://schemas.microsoft.com/office/drawing/2014/main" id="{9D96D099-8F2E-4BFB-BD4A-D82814B079B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oneCellAnchor>
  <xdr:oneCellAnchor>
    <xdr:from>
      <xdr:col>23</xdr:col>
      <xdr:colOff>698499</xdr:colOff>
      <xdr:row>860</xdr:row>
      <xdr:rowOff>0</xdr:rowOff>
    </xdr:from>
    <xdr:ext cx="8280000" cy="4320000"/>
    <xdr:graphicFrame macro="">
      <xdr:nvGraphicFramePr>
        <xdr:cNvPr id="55" name="Chart 54">
          <a:extLst>
            <a:ext uri="{FF2B5EF4-FFF2-40B4-BE49-F238E27FC236}">
              <a16:creationId xmlns:a16="http://schemas.microsoft.com/office/drawing/2014/main" id="{BA4624B0-200E-4EBE-AFD3-35C20D3A1CA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oneCellAnchor>
  <xdr:oneCellAnchor>
    <xdr:from>
      <xdr:col>23</xdr:col>
      <xdr:colOff>698499</xdr:colOff>
      <xdr:row>882</xdr:row>
      <xdr:rowOff>215899</xdr:rowOff>
    </xdr:from>
    <xdr:ext cx="8280000" cy="4320000"/>
    <xdr:graphicFrame macro="">
      <xdr:nvGraphicFramePr>
        <xdr:cNvPr id="57" name="Chart 56">
          <a:extLst>
            <a:ext uri="{FF2B5EF4-FFF2-40B4-BE49-F238E27FC236}">
              <a16:creationId xmlns:a16="http://schemas.microsoft.com/office/drawing/2014/main" id="{50A72C9A-D973-4CCA-9B1A-92F577563FE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oneCellAnchor>
  <xdr:twoCellAnchor>
    <xdr:from>
      <xdr:col>7</xdr:col>
      <xdr:colOff>991325</xdr:colOff>
      <xdr:row>268</xdr:row>
      <xdr:rowOff>121738</xdr:rowOff>
    </xdr:from>
    <xdr:to>
      <xdr:col>8</xdr:col>
      <xdr:colOff>443502</xdr:colOff>
      <xdr:row>272</xdr:row>
      <xdr:rowOff>152491</xdr:rowOff>
    </xdr:to>
    <xdr:sp macro="" textlink="$A$257">
      <xdr:nvSpPr>
        <xdr:cNvPr id="13" name="TextBox 12">
          <a:extLst>
            <a:ext uri="{FF2B5EF4-FFF2-40B4-BE49-F238E27FC236}">
              <a16:creationId xmlns:a16="http://schemas.microsoft.com/office/drawing/2014/main" id="{43F01129-07CD-1889-DBA1-DBDEC422CAA7}"/>
            </a:ext>
          </a:extLst>
        </xdr:cNvPr>
        <xdr:cNvSpPr txBox="1"/>
      </xdr:nvSpPr>
      <xdr:spPr>
        <a:xfrm>
          <a:off x="7237004" y="60945667"/>
          <a:ext cx="731248" cy="73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DA4FF4EE-23CA-4F3C-930D-003704D704A2}" type="TxLink">
            <a:rPr lang="en-US" sz="1400" b="1" i="0" u="none" strike="noStrike">
              <a:solidFill>
                <a:sysClr val="windowText" lastClr="000000"/>
              </a:solidFill>
              <a:latin typeface="Segoe UI"/>
              <a:cs typeface="Segoe UI"/>
            </a:rPr>
            <a:pPr algn="ctr"/>
            <a:t>ORKA 2025</a:t>
          </a:fld>
          <a:endParaRPr lang="is-IS" sz="1800" b="1">
            <a:solidFill>
              <a:sysClr val="windowText" lastClr="000000"/>
            </a:solidFill>
          </a:endParaRPr>
        </a:p>
      </xdr:txBody>
    </xdr:sp>
    <xdr:clientData/>
  </xdr:twoCellAnchor>
  <xdr:twoCellAnchor>
    <xdr:from>
      <xdr:col>5</xdr:col>
      <xdr:colOff>1226457</xdr:colOff>
      <xdr:row>743</xdr:row>
      <xdr:rowOff>10522</xdr:rowOff>
    </xdr:from>
    <xdr:to>
      <xdr:col>7</xdr:col>
      <xdr:colOff>856342</xdr:colOff>
      <xdr:row>746</xdr:row>
      <xdr:rowOff>132442</xdr:rowOff>
    </xdr:to>
    <xdr:sp macro="" textlink="$A$734">
      <xdr:nvSpPr>
        <xdr:cNvPr id="17" name="TextBox 16">
          <a:extLst>
            <a:ext uri="{FF2B5EF4-FFF2-40B4-BE49-F238E27FC236}">
              <a16:creationId xmlns:a16="http://schemas.microsoft.com/office/drawing/2014/main" id="{7E6DA2C7-7BEA-1ACD-B55B-CC9452F830D0}"/>
            </a:ext>
          </a:extLst>
        </xdr:cNvPr>
        <xdr:cNvSpPr txBox="1"/>
      </xdr:nvSpPr>
      <xdr:spPr>
        <a:xfrm>
          <a:off x="3271157" y="168615722"/>
          <a:ext cx="1598385" cy="718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4E38A9C-F78F-4414-94A1-CED63256E33D}" type="TxLink">
            <a:rPr lang="en-US" sz="1400" b="1" i="0" u="none" strike="noStrike">
              <a:solidFill>
                <a:sysClr val="windowText" lastClr="000000"/>
              </a:solidFill>
              <a:latin typeface="Segoe UI"/>
              <a:cs typeface="Segoe UI"/>
            </a:rPr>
            <a:pPr algn="ctr"/>
            <a:t>ÚRGANGUR 2025</a:t>
          </a:fld>
          <a:endParaRPr lang="is-IS" sz="1800" b="1">
            <a:solidFill>
              <a:sysClr val="windowText" lastClr="000000"/>
            </a:solidFill>
          </a:endParaRPr>
        </a:p>
      </xdr:txBody>
    </xdr:sp>
    <xdr:clientData/>
  </xdr:twoCellAnchor>
  <xdr:oneCellAnchor>
    <xdr:from>
      <xdr:col>4</xdr:col>
      <xdr:colOff>0</xdr:colOff>
      <xdr:row>837</xdr:row>
      <xdr:rowOff>0</xdr:rowOff>
    </xdr:from>
    <xdr:ext cx="7809412" cy="4268406"/>
    <xdr:graphicFrame macro="">
      <xdr:nvGraphicFramePr>
        <xdr:cNvPr id="50" name="Chart 49">
          <a:extLst>
            <a:ext uri="{FF2B5EF4-FFF2-40B4-BE49-F238E27FC236}">
              <a16:creationId xmlns:a16="http://schemas.microsoft.com/office/drawing/2014/main" id="{CABD71A6-0ACC-4E7A-8061-703636C0CC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oneCellAnchor>
  <xdr:twoCellAnchor editAs="oneCell">
    <xdr:from>
      <xdr:col>4</xdr:col>
      <xdr:colOff>0</xdr:colOff>
      <xdr:row>411</xdr:row>
      <xdr:rowOff>0</xdr:rowOff>
    </xdr:from>
    <xdr:to>
      <xdr:col>11</xdr:col>
      <xdr:colOff>485829</xdr:colOff>
      <xdr:row>430</xdr:row>
      <xdr:rowOff>183428</xdr:rowOff>
    </xdr:to>
    <xdr:graphicFrame macro="">
      <xdr:nvGraphicFramePr>
        <xdr:cNvPr id="29" name="Chart 28">
          <a:extLst>
            <a:ext uri="{FF2B5EF4-FFF2-40B4-BE49-F238E27FC236}">
              <a16:creationId xmlns:a16="http://schemas.microsoft.com/office/drawing/2014/main" id="{1F9CDDDF-E5FE-4ABB-956D-D5CE0CAE0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oneCellAnchor>
    <xdr:from>
      <xdr:col>4</xdr:col>
      <xdr:colOff>0</xdr:colOff>
      <xdr:row>570</xdr:row>
      <xdr:rowOff>0</xdr:rowOff>
    </xdr:from>
    <xdr:ext cx="8280000" cy="4320000"/>
    <xdr:graphicFrame macro="">
      <xdr:nvGraphicFramePr>
        <xdr:cNvPr id="77" name="Chart 76">
          <a:extLst>
            <a:ext uri="{FF2B5EF4-FFF2-40B4-BE49-F238E27FC236}">
              <a16:creationId xmlns:a16="http://schemas.microsoft.com/office/drawing/2014/main" id="{5F48FC93-27B3-4D06-9CF0-901169D9970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oneCellAnchor>
  <xdr:oneCellAnchor>
    <xdr:from>
      <xdr:col>4</xdr:col>
      <xdr:colOff>0</xdr:colOff>
      <xdr:row>779</xdr:row>
      <xdr:rowOff>0</xdr:rowOff>
    </xdr:from>
    <xdr:ext cx="8280000" cy="4320000"/>
    <xdr:graphicFrame macro="">
      <xdr:nvGraphicFramePr>
        <xdr:cNvPr id="95" name="Chart 94">
          <a:extLst>
            <a:ext uri="{FF2B5EF4-FFF2-40B4-BE49-F238E27FC236}">
              <a16:creationId xmlns:a16="http://schemas.microsoft.com/office/drawing/2014/main" id="{E6DB568F-DDE1-4C4E-8598-15CC16A3CA8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oneCellAnchor>
  <xdr:oneCellAnchor>
    <xdr:from>
      <xdr:col>4</xdr:col>
      <xdr:colOff>-1</xdr:colOff>
      <xdr:row>675</xdr:row>
      <xdr:rowOff>0</xdr:rowOff>
    </xdr:from>
    <xdr:ext cx="8280000" cy="4320000"/>
    <xdr:graphicFrame macro="">
      <xdr:nvGraphicFramePr>
        <xdr:cNvPr id="102" name="Chart 101">
          <a:extLst>
            <a:ext uri="{FF2B5EF4-FFF2-40B4-BE49-F238E27FC236}">
              <a16:creationId xmlns:a16="http://schemas.microsoft.com/office/drawing/2014/main" id="{D0655277-0424-482E-8BF2-248A67C940B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oneCellAnchor>
  <xdr:oneCellAnchor>
    <xdr:from>
      <xdr:col>24</xdr:col>
      <xdr:colOff>0</xdr:colOff>
      <xdr:row>630</xdr:row>
      <xdr:rowOff>0</xdr:rowOff>
    </xdr:from>
    <xdr:ext cx="7867966" cy="4320000"/>
    <xdr:graphicFrame macro="">
      <xdr:nvGraphicFramePr>
        <xdr:cNvPr id="36" name="Chart 35">
          <a:extLst>
            <a:ext uri="{FF2B5EF4-FFF2-40B4-BE49-F238E27FC236}">
              <a16:creationId xmlns:a16="http://schemas.microsoft.com/office/drawing/2014/main" id="{F8993679-B306-493C-949E-13DC6323D1B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oneCellAnchor>
  <xdr:oneCellAnchor>
    <xdr:from>
      <xdr:col>23</xdr:col>
      <xdr:colOff>698499</xdr:colOff>
      <xdr:row>654</xdr:row>
      <xdr:rowOff>0</xdr:rowOff>
    </xdr:from>
    <xdr:ext cx="8280000" cy="4320000"/>
    <xdr:graphicFrame macro="">
      <xdr:nvGraphicFramePr>
        <xdr:cNvPr id="38" name="Chart 37">
          <a:extLst>
            <a:ext uri="{FF2B5EF4-FFF2-40B4-BE49-F238E27FC236}">
              <a16:creationId xmlns:a16="http://schemas.microsoft.com/office/drawing/2014/main" id="{FB7D0998-CE60-4FEE-BC70-1A3EDC7F27E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oneCellAnchor>
  <xdr:oneCellAnchor>
    <xdr:from>
      <xdr:col>24</xdr:col>
      <xdr:colOff>0</xdr:colOff>
      <xdr:row>699</xdr:row>
      <xdr:rowOff>0</xdr:rowOff>
    </xdr:from>
    <xdr:ext cx="8280000" cy="4320000"/>
    <xdr:graphicFrame macro="">
      <xdr:nvGraphicFramePr>
        <xdr:cNvPr id="83" name="Chart 82">
          <a:extLst>
            <a:ext uri="{FF2B5EF4-FFF2-40B4-BE49-F238E27FC236}">
              <a16:creationId xmlns:a16="http://schemas.microsoft.com/office/drawing/2014/main" id="{5766ABBA-8E2C-4CFA-B0D6-D4AE024A273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oneCellAnchor>
  <xdr:twoCellAnchor editAs="oneCell">
    <xdr:from>
      <xdr:col>3</xdr:col>
      <xdr:colOff>393699</xdr:colOff>
      <xdr:row>496</xdr:row>
      <xdr:rowOff>0</xdr:rowOff>
    </xdr:from>
    <xdr:to>
      <xdr:col>11</xdr:col>
      <xdr:colOff>494899</xdr:colOff>
      <xdr:row>522</xdr:row>
      <xdr:rowOff>27400</xdr:rowOff>
    </xdr:to>
    <xdr:graphicFrame macro="">
      <xdr:nvGraphicFramePr>
        <xdr:cNvPr id="37" name="Chart 36">
          <a:extLst>
            <a:ext uri="{FF2B5EF4-FFF2-40B4-BE49-F238E27FC236}">
              <a16:creationId xmlns:a16="http://schemas.microsoft.com/office/drawing/2014/main" id="{21144CA2-DFDD-4306-B86B-BB2747CF9B5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11</xdr:col>
      <xdr:colOff>0</xdr:colOff>
      <xdr:row>496</xdr:row>
      <xdr:rowOff>0</xdr:rowOff>
    </xdr:from>
    <xdr:to>
      <xdr:col>17</xdr:col>
      <xdr:colOff>228200</xdr:colOff>
      <xdr:row>522</xdr:row>
      <xdr:rowOff>27400</xdr:rowOff>
    </xdr:to>
    <xdr:graphicFrame macro="">
      <xdr:nvGraphicFramePr>
        <xdr:cNvPr id="40" name="Chart 39">
          <a:extLst>
            <a:ext uri="{FF2B5EF4-FFF2-40B4-BE49-F238E27FC236}">
              <a16:creationId xmlns:a16="http://schemas.microsoft.com/office/drawing/2014/main" id="{F2EFAB4C-48A1-4022-8E21-AC2C31E9F19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24</xdr:col>
      <xdr:colOff>0</xdr:colOff>
      <xdr:row>496</xdr:row>
      <xdr:rowOff>0</xdr:rowOff>
    </xdr:from>
    <xdr:to>
      <xdr:col>29</xdr:col>
      <xdr:colOff>748899</xdr:colOff>
      <xdr:row>522</xdr:row>
      <xdr:rowOff>27400</xdr:rowOff>
    </xdr:to>
    <xdr:graphicFrame macro="">
      <xdr:nvGraphicFramePr>
        <xdr:cNvPr id="41" name="Chart 40">
          <a:extLst>
            <a:ext uri="{FF2B5EF4-FFF2-40B4-BE49-F238E27FC236}">
              <a16:creationId xmlns:a16="http://schemas.microsoft.com/office/drawing/2014/main" id="{1A2D2ACE-598D-465D-A211-C8146DDE5B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29</xdr:col>
      <xdr:colOff>1498599</xdr:colOff>
      <xdr:row>496</xdr:row>
      <xdr:rowOff>0</xdr:rowOff>
    </xdr:from>
    <xdr:to>
      <xdr:col>36</xdr:col>
      <xdr:colOff>139300</xdr:colOff>
      <xdr:row>522</xdr:row>
      <xdr:rowOff>27400</xdr:rowOff>
    </xdr:to>
    <xdr:graphicFrame macro="">
      <xdr:nvGraphicFramePr>
        <xdr:cNvPr id="73" name="Chart 72">
          <a:extLst>
            <a:ext uri="{FF2B5EF4-FFF2-40B4-BE49-F238E27FC236}">
              <a16:creationId xmlns:a16="http://schemas.microsoft.com/office/drawing/2014/main" id="{DBC022D2-CB80-47A9-B4C3-AEB2FF04773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oneCellAnchor>
    <xdr:from>
      <xdr:col>4</xdr:col>
      <xdr:colOff>-1</xdr:colOff>
      <xdr:row>527</xdr:row>
      <xdr:rowOff>0</xdr:rowOff>
    </xdr:from>
    <xdr:ext cx="8280000" cy="4320000"/>
    <xdr:graphicFrame macro="">
      <xdr:nvGraphicFramePr>
        <xdr:cNvPr id="86" name="Chart 85">
          <a:extLst>
            <a:ext uri="{FF2B5EF4-FFF2-40B4-BE49-F238E27FC236}">
              <a16:creationId xmlns:a16="http://schemas.microsoft.com/office/drawing/2014/main" id="{68B57789-8242-487D-84D2-2D44A080C7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oneCellAnchor>
  <xdr:oneCellAnchor>
    <xdr:from>
      <xdr:col>23</xdr:col>
      <xdr:colOff>696684</xdr:colOff>
      <xdr:row>527</xdr:row>
      <xdr:rowOff>0</xdr:rowOff>
    </xdr:from>
    <xdr:ext cx="8280000" cy="4320000"/>
    <xdr:graphicFrame macro="">
      <xdr:nvGraphicFramePr>
        <xdr:cNvPr id="100" name="Chart 99">
          <a:extLst>
            <a:ext uri="{FF2B5EF4-FFF2-40B4-BE49-F238E27FC236}">
              <a16:creationId xmlns:a16="http://schemas.microsoft.com/office/drawing/2014/main" id="{C2029600-9F5F-4A64-83C5-C12B414461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oneCellAnchor>
  <xdr:oneCellAnchor>
    <xdr:from>
      <xdr:col>30</xdr:col>
      <xdr:colOff>0</xdr:colOff>
      <xdr:row>548</xdr:row>
      <xdr:rowOff>0</xdr:rowOff>
    </xdr:from>
    <xdr:ext cx="8280000" cy="4320000"/>
    <xdr:graphicFrame macro="">
      <xdr:nvGraphicFramePr>
        <xdr:cNvPr id="103" name="Chart 102">
          <a:extLst>
            <a:ext uri="{FF2B5EF4-FFF2-40B4-BE49-F238E27FC236}">
              <a16:creationId xmlns:a16="http://schemas.microsoft.com/office/drawing/2014/main" id="{6653AEF5-E8DF-4031-8FE2-0886956BB9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oneCellAnchor>
  <xdr:twoCellAnchor editAs="oneCell">
    <xdr:from>
      <xdr:col>11</xdr:col>
      <xdr:colOff>0</xdr:colOff>
      <xdr:row>49</xdr:row>
      <xdr:rowOff>215899</xdr:rowOff>
    </xdr:from>
    <xdr:to>
      <xdr:col>17</xdr:col>
      <xdr:colOff>228200</xdr:colOff>
      <xdr:row>69</xdr:row>
      <xdr:rowOff>192499</xdr:rowOff>
    </xdr:to>
    <xdr:graphicFrame macro="">
      <xdr:nvGraphicFramePr>
        <xdr:cNvPr id="125" name="Chart 124">
          <a:extLst>
            <a:ext uri="{FF2B5EF4-FFF2-40B4-BE49-F238E27FC236}">
              <a16:creationId xmlns:a16="http://schemas.microsoft.com/office/drawing/2014/main" id="{171A4D28-EF97-40B1-BD84-60EB93BE57F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3</xdr:col>
      <xdr:colOff>393699</xdr:colOff>
      <xdr:row>96</xdr:row>
      <xdr:rowOff>0</xdr:rowOff>
    </xdr:from>
    <xdr:to>
      <xdr:col>11</xdr:col>
      <xdr:colOff>494899</xdr:colOff>
      <xdr:row>116</xdr:row>
      <xdr:rowOff>2000</xdr:rowOff>
    </xdr:to>
    <xdr:graphicFrame macro="">
      <xdr:nvGraphicFramePr>
        <xdr:cNvPr id="130" name="Chart 129">
          <a:extLst>
            <a:ext uri="{FF2B5EF4-FFF2-40B4-BE49-F238E27FC236}">
              <a16:creationId xmlns:a16="http://schemas.microsoft.com/office/drawing/2014/main" id="{BC395A25-6537-482A-AC02-32D8687072C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3</xdr:col>
      <xdr:colOff>393699</xdr:colOff>
      <xdr:row>117</xdr:row>
      <xdr:rowOff>0</xdr:rowOff>
    </xdr:from>
    <xdr:to>
      <xdr:col>11</xdr:col>
      <xdr:colOff>494899</xdr:colOff>
      <xdr:row>137</xdr:row>
      <xdr:rowOff>2000</xdr:rowOff>
    </xdr:to>
    <xdr:graphicFrame macro="">
      <xdr:nvGraphicFramePr>
        <xdr:cNvPr id="131" name="Chart 130">
          <a:extLst>
            <a:ext uri="{FF2B5EF4-FFF2-40B4-BE49-F238E27FC236}">
              <a16:creationId xmlns:a16="http://schemas.microsoft.com/office/drawing/2014/main" id="{9A5C6CF2-8CBF-4CC7-8E9E-42742B3B375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11</xdr:col>
      <xdr:colOff>0</xdr:colOff>
      <xdr:row>96</xdr:row>
      <xdr:rowOff>0</xdr:rowOff>
    </xdr:from>
    <xdr:to>
      <xdr:col>17</xdr:col>
      <xdr:colOff>228200</xdr:colOff>
      <xdr:row>116</xdr:row>
      <xdr:rowOff>2000</xdr:rowOff>
    </xdr:to>
    <xdr:graphicFrame macro="">
      <xdr:nvGraphicFramePr>
        <xdr:cNvPr id="132" name="Chart 131">
          <a:extLst>
            <a:ext uri="{FF2B5EF4-FFF2-40B4-BE49-F238E27FC236}">
              <a16:creationId xmlns:a16="http://schemas.microsoft.com/office/drawing/2014/main" id="{10F86228-EFE0-4CE4-A005-DAF4FB7C948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editAs="oneCell">
    <xdr:from>
      <xdr:col>11</xdr:col>
      <xdr:colOff>0</xdr:colOff>
      <xdr:row>117</xdr:row>
      <xdr:rowOff>0</xdr:rowOff>
    </xdr:from>
    <xdr:to>
      <xdr:col>17</xdr:col>
      <xdr:colOff>228200</xdr:colOff>
      <xdr:row>137</xdr:row>
      <xdr:rowOff>2000</xdr:rowOff>
    </xdr:to>
    <xdr:graphicFrame macro="">
      <xdr:nvGraphicFramePr>
        <xdr:cNvPr id="133" name="Chart 132">
          <a:extLst>
            <a:ext uri="{FF2B5EF4-FFF2-40B4-BE49-F238E27FC236}">
              <a16:creationId xmlns:a16="http://schemas.microsoft.com/office/drawing/2014/main" id="{49B7B518-3D74-4D10-9FB4-F5F2A6CAF08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editAs="oneCell">
    <xdr:from>
      <xdr:col>3</xdr:col>
      <xdr:colOff>393699</xdr:colOff>
      <xdr:row>182</xdr:row>
      <xdr:rowOff>0</xdr:rowOff>
    </xdr:from>
    <xdr:to>
      <xdr:col>11</xdr:col>
      <xdr:colOff>494899</xdr:colOff>
      <xdr:row>208</xdr:row>
      <xdr:rowOff>2000</xdr:rowOff>
    </xdr:to>
    <xdr:graphicFrame macro="">
      <xdr:nvGraphicFramePr>
        <xdr:cNvPr id="149" name="Chart 148">
          <a:extLst>
            <a:ext uri="{FF2B5EF4-FFF2-40B4-BE49-F238E27FC236}">
              <a16:creationId xmlns:a16="http://schemas.microsoft.com/office/drawing/2014/main" id="{3DF42D8F-CBB5-4832-B913-3DF094DA7A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editAs="oneCell">
    <xdr:from>
      <xdr:col>4</xdr:col>
      <xdr:colOff>0</xdr:colOff>
      <xdr:row>212</xdr:row>
      <xdr:rowOff>0</xdr:rowOff>
    </xdr:from>
    <xdr:to>
      <xdr:col>11</xdr:col>
      <xdr:colOff>485829</xdr:colOff>
      <xdr:row>238</xdr:row>
      <xdr:rowOff>74571</xdr:rowOff>
    </xdr:to>
    <xdr:graphicFrame macro="">
      <xdr:nvGraphicFramePr>
        <xdr:cNvPr id="158" name="Chart 157">
          <a:extLst>
            <a:ext uri="{FF2B5EF4-FFF2-40B4-BE49-F238E27FC236}">
              <a16:creationId xmlns:a16="http://schemas.microsoft.com/office/drawing/2014/main" id="{6E0483FF-B7CD-4BB2-9183-2A59C1A06D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editAs="oneCell">
    <xdr:from>
      <xdr:col>12</xdr:col>
      <xdr:colOff>0</xdr:colOff>
      <xdr:row>182</xdr:row>
      <xdr:rowOff>0</xdr:rowOff>
    </xdr:from>
    <xdr:to>
      <xdr:col>18</xdr:col>
      <xdr:colOff>219129</xdr:colOff>
      <xdr:row>208</xdr:row>
      <xdr:rowOff>41913</xdr:rowOff>
    </xdr:to>
    <xdr:graphicFrame macro="">
      <xdr:nvGraphicFramePr>
        <xdr:cNvPr id="159" name="Chart 158">
          <a:extLst>
            <a:ext uri="{FF2B5EF4-FFF2-40B4-BE49-F238E27FC236}">
              <a16:creationId xmlns:a16="http://schemas.microsoft.com/office/drawing/2014/main" id="{5162B814-3EAB-4A14-BE57-FAF203A8494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oneCellAnchor>
    <xdr:from>
      <xdr:col>4</xdr:col>
      <xdr:colOff>0</xdr:colOff>
      <xdr:row>287</xdr:row>
      <xdr:rowOff>0</xdr:rowOff>
    </xdr:from>
    <xdr:ext cx="8280000" cy="4320000"/>
    <xdr:graphicFrame macro="">
      <xdr:nvGraphicFramePr>
        <xdr:cNvPr id="162" name="Chart 161">
          <a:extLst>
            <a:ext uri="{FF2B5EF4-FFF2-40B4-BE49-F238E27FC236}">
              <a16:creationId xmlns:a16="http://schemas.microsoft.com/office/drawing/2014/main" id="{663A7CAD-7EF0-4165-8365-A526C7FA4EC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oneCellAnchor>
  <xdr:oneCellAnchor>
    <xdr:from>
      <xdr:col>12</xdr:col>
      <xdr:colOff>0</xdr:colOff>
      <xdr:row>434</xdr:row>
      <xdr:rowOff>0</xdr:rowOff>
    </xdr:from>
    <xdr:ext cx="8280000" cy="4320000"/>
    <xdr:graphicFrame macro="">
      <xdr:nvGraphicFramePr>
        <xdr:cNvPr id="185" name="Chart 184">
          <a:extLst>
            <a:ext uri="{FF2B5EF4-FFF2-40B4-BE49-F238E27FC236}">
              <a16:creationId xmlns:a16="http://schemas.microsoft.com/office/drawing/2014/main" id="{B19CB2EF-B1D8-459C-8A65-F9CDF2055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oneCellAnchor>
  <xdr:oneCellAnchor>
    <xdr:from>
      <xdr:col>12</xdr:col>
      <xdr:colOff>0</xdr:colOff>
      <xdr:row>527</xdr:row>
      <xdr:rowOff>0</xdr:rowOff>
    </xdr:from>
    <xdr:ext cx="8273142" cy="4320000"/>
    <xdr:graphicFrame macro="">
      <xdr:nvGraphicFramePr>
        <xdr:cNvPr id="191" name="Chart 190">
          <a:extLst>
            <a:ext uri="{FF2B5EF4-FFF2-40B4-BE49-F238E27FC236}">
              <a16:creationId xmlns:a16="http://schemas.microsoft.com/office/drawing/2014/main" id="{CB551651-2765-416F-A789-945B55980BE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oneCellAnchor>
  <xdr:oneCellAnchor>
    <xdr:from>
      <xdr:col>12</xdr:col>
      <xdr:colOff>0</xdr:colOff>
      <xdr:row>548</xdr:row>
      <xdr:rowOff>0</xdr:rowOff>
    </xdr:from>
    <xdr:ext cx="8280000" cy="4320000"/>
    <xdr:graphicFrame macro="">
      <xdr:nvGraphicFramePr>
        <xdr:cNvPr id="193" name="Chart 192">
          <a:extLst>
            <a:ext uri="{FF2B5EF4-FFF2-40B4-BE49-F238E27FC236}">
              <a16:creationId xmlns:a16="http://schemas.microsoft.com/office/drawing/2014/main" id="{15C96E48-07DB-4477-86D6-1E30BED062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oneCellAnchor>
  <xdr:oneCellAnchor>
    <xdr:from>
      <xdr:col>12</xdr:col>
      <xdr:colOff>-1</xdr:colOff>
      <xdr:row>803</xdr:row>
      <xdr:rowOff>0</xdr:rowOff>
    </xdr:from>
    <xdr:ext cx="8280000" cy="4320000"/>
    <xdr:graphicFrame macro="">
      <xdr:nvGraphicFramePr>
        <xdr:cNvPr id="217" name="Chart 216">
          <a:extLst>
            <a:ext uri="{FF2B5EF4-FFF2-40B4-BE49-F238E27FC236}">
              <a16:creationId xmlns:a16="http://schemas.microsoft.com/office/drawing/2014/main" id="{D6DF9AB9-3997-4245-8D58-CE52250FFF4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oneCellAnchor>
  <xdr:oneCellAnchor>
    <xdr:from>
      <xdr:col>12</xdr:col>
      <xdr:colOff>-1</xdr:colOff>
      <xdr:row>860</xdr:row>
      <xdr:rowOff>0</xdr:rowOff>
    </xdr:from>
    <xdr:ext cx="8280000" cy="4320000"/>
    <xdr:graphicFrame macro="">
      <xdr:nvGraphicFramePr>
        <xdr:cNvPr id="220" name="Chart 219">
          <a:extLst>
            <a:ext uri="{FF2B5EF4-FFF2-40B4-BE49-F238E27FC236}">
              <a16:creationId xmlns:a16="http://schemas.microsoft.com/office/drawing/2014/main" id="{29F8EE1E-D120-4B47-9A9F-EE7C33AAEA7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oneCellAnchor>
  <xdr:oneCellAnchor>
    <xdr:from>
      <xdr:col>12</xdr:col>
      <xdr:colOff>-1</xdr:colOff>
      <xdr:row>882</xdr:row>
      <xdr:rowOff>217713</xdr:rowOff>
    </xdr:from>
    <xdr:ext cx="8280000" cy="4320000"/>
    <xdr:graphicFrame macro="">
      <xdr:nvGraphicFramePr>
        <xdr:cNvPr id="224" name="Chart 223">
          <a:extLst>
            <a:ext uri="{FF2B5EF4-FFF2-40B4-BE49-F238E27FC236}">
              <a16:creationId xmlns:a16="http://schemas.microsoft.com/office/drawing/2014/main" id="{7AF61365-D68A-4375-992E-AF7E662AC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oneCellAnchor>
  <xdr:oneCellAnchor>
    <xdr:from>
      <xdr:col>30</xdr:col>
      <xdr:colOff>0</xdr:colOff>
      <xdr:row>883</xdr:row>
      <xdr:rowOff>0</xdr:rowOff>
    </xdr:from>
    <xdr:ext cx="8280000" cy="4320000"/>
    <xdr:graphicFrame macro="">
      <xdr:nvGraphicFramePr>
        <xdr:cNvPr id="4" name="Chart 3">
          <a:extLst>
            <a:ext uri="{FF2B5EF4-FFF2-40B4-BE49-F238E27FC236}">
              <a16:creationId xmlns:a16="http://schemas.microsoft.com/office/drawing/2014/main" id="{BC5AB76D-7D7F-4044-8F1C-6B29ADDBF1C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oneCellAnchor>
  <xdr:oneCellAnchor>
    <xdr:from>
      <xdr:col>24</xdr:col>
      <xdr:colOff>0</xdr:colOff>
      <xdr:row>570</xdr:row>
      <xdr:rowOff>0</xdr:rowOff>
    </xdr:from>
    <xdr:ext cx="8280000" cy="4320000"/>
    <xdr:graphicFrame macro="">
      <xdr:nvGraphicFramePr>
        <xdr:cNvPr id="16" name="Chart 15">
          <a:extLst>
            <a:ext uri="{FF2B5EF4-FFF2-40B4-BE49-F238E27FC236}">
              <a16:creationId xmlns:a16="http://schemas.microsoft.com/office/drawing/2014/main" id="{E6344756-2843-4152-A4AB-F001E6B2263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oneCellAnchor>
  <xdr:oneCellAnchor>
    <xdr:from>
      <xdr:col>23</xdr:col>
      <xdr:colOff>696684</xdr:colOff>
      <xdr:row>548</xdr:row>
      <xdr:rowOff>0</xdr:rowOff>
    </xdr:from>
    <xdr:ext cx="8280000" cy="4320000"/>
    <xdr:graphicFrame macro="">
      <xdr:nvGraphicFramePr>
        <xdr:cNvPr id="18" name="Chart 17">
          <a:extLst>
            <a:ext uri="{FF2B5EF4-FFF2-40B4-BE49-F238E27FC236}">
              <a16:creationId xmlns:a16="http://schemas.microsoft.com/office/drawing/2014/main" id="{70AC480A-EB59-4CB4-A3CE-2C43A69BA3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oneCellAnchor>
  <xdr:twoCellAnchor editAs="oneCell">
    <xdr:from>
      <xdr:col>23</xdr:col>
      <xdr:colOff>698499</xdr:colOff>
      <xdr:row>71</xdr:row>
      <xdr:rowOff>0</xdr:rowOff>
    </xdr:from>
    <xdr:to>
      <xdr:col>29</xdr:col>
      <xdr:colOff>748898</xdr:colOff>
      <xdr:row>91</xdr:row>
      <xdr:rowOff>2000</xdr:rowOff>
    </xdr:to>
    <xdr:graphicFrame macro="">
      <xdr:nvGraphicFramePr>
        <xdr:cNvPr id="20" name="Chart 19">
          <a:extLst>
            <a:ext uri="{FF2B5EF4-FFF2-40B4-BE49-F238E27FC236}">
              <a16:creationId xmlns:a16="http://schemas.microsoft.com/office/drawing/2014/main" id="{8D974844-47C0-4C91-94DE-214884E593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editAs="oneCell">
    <xdr:from>
      <xdr:col>30</xdr:col>
      <xdr:colOff>0</xdr:colOff>
      <xdr:row>49</xdr:row>
      <xdr:rowOff>215899</xdr:rowOff>
    </xdr:from>
    <xdr:to>
      <xdr:col>36</xdr:col>
      <xdr:colOff>139300</xdr:colOff>
      <xdr:row>69</xdr:row>
      <xdr:rowOff>192499</xdr:rowOff>
    </xdr:to>
    <xdr:graphicFrame macro="">
      <xdr:nvGraphicFramePr>
        <xdr:cNvPr id="25" name="Chart 24">
          <a:extLst>
            <a:ext uri="{FF2B5EF4-FFF2-40B4-BE49-F238E27FC236}">
              <a16:creationId xmlns:a16="http://schemas.microsoft.com/office/drawing/2014/main" id="{3A597BD9-1A3B-4160-92E1-BD6DFEF3E2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editAs="oneCell">
    <xdr:from>
      <xdr:col>30</xdr:col>
      <xdr:colOff>0</xdr:colOff>
      <xdr:row>71</xdr:row>
      <xdr:rowOff>0</xdr:rowOff>
    </xdr:from>
    <xdr:to>
      <xdr:col>36</xdr:col>
      <xdr:colOff>139300</xdr:colOff>
      <xdr:row>91</xdr:row>
      <xdr:rowOff>2000</xdr:rowOff>
    </xdr:to>
    <xdr:graphicFrame macro="">
      <xdr:nvGraphicFramePr>
        <xdr:cNvPr id="27" name="Chart 26">
          <a:extLst>
            <a:ext uri="{FF2B5EF4-FFF2-40B4-BE49-F238E27FC236}">
              <a16:creationId xmlns:a16="http://schemas.microsoft.com/office/drawing/2014/main" id="{5A3421B4-F0DE-4619-B180-60324FDFDC3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editAs="oneCell">
    <xdr:from>
      <xdr:col>24</xdr:col>
      <xdr:colOff>45719</xdr:colOff>
      <xdr:row>96</xdr:row>
      <xdr:rowOff>0</xdr:rowOff>
    </xdr:from>
    <xdr:to>
      <xdr:col>29</xdr:col>
      <xdr:colOff>794618</xdr:colOff>
      <xdr:row>116</xdr:row>
      <xdr:rowOff>2000</xdr:rowOff>
    </xdr:to>
    <xdr:graphicFrame macro="">
      <xdr:nvGraphicFramePr>
        <xdr:cNvPr id="14" name="Chart 13">
          <a:extLst>
            <a:ext uri="{FF2B5EF4-FFF2-40B4-BE49-F238E27FC236}">
              <a16:creationId xmlns:a16="http://schemas.microsoft.com/office/drawing/2014/main" id="{2DD8B3CE-EDFD-458E-85AD-E313668F4C1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editAs="oneCell">
    <xdr:from>
      <xdr:col>23</xdr:col>
      <xdr:colOff>698499</xdr:colOff>
      <xdr:row>117</xdr:row>
      <xdr:rowOff>0</xdr:rowOff>
    </xdr:from>
    <xdr:to>
      <xdr:col>29</xdr:col>
      <xdr:colOff>748898</xdr:colOff>
      <xdr:row>137</xdr:row>
      <xdr:rowOff>2000</xdr:rowOff>
    </xdr:to>
    <xdr:graphicFrame macro="">
      <xdr:nvGraphicFramePr>
        <xdr:cNvPr id="21" name="Chart 20">
          <a:extLst>
            <a:ext uri="{FF2B5EF4-FFF2-40B4-BE49-F238E27FC236}">
              <a16:creationId xmlns:a16="http://schemas.microsoft.com/office/drawing/2014/main" id="{23135571-0645-4EFD-88F8-C880305DCED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editAs="oneCell">
    <xdr:from>
      <xdr:col>30</xdr:col>
      <xdr:colOff>0</xdr:colOff>
      <xdr:row>96</xdr:row>
      <xdr:rowOff>0</xdr:rowOff>
    </xdr:from>
    <xdr:to>
      <xdr:col>36</xdr:col>
      <xdr:colOff>139300</xdr:colOff>
      <xdr:row>116</xdr:row>
      <xdr:rowOff>2000</xdr:rowOff>
    </xdr:to>
    <xdr:graphicFrame macro="">
      <xdr:nvGraphicFramePr>
        <xdr:cNvPr id="22" name="Chart 21">
          <a:extLst>
            <a:ext uri="{FF2B5EF4-FFF2-40B4-BE49-F238E27FC236}">
              <a16:creationId xmlns:a16="http://schemas.microsoft.com/office/drawing/2014/main" id="{3A7CF847-6443-4489-B034-56A97704DD9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editAs="oneCell">
    <xdr:from>
      <xdr:col>30</xdr:col>
      <xdr:colOff>0</xdr:colOff>
      <xdr:row>117</xdr:row>
      <xdr:rowOff>0</xdr:rowOff>
    </xdr:from>
    <xdr:to>
      <xdr:col>36</xdr:col>
      <xdr:colOff>139300</xdr:colOff>
      <xdr:row>137</xdr:row>
      <xdr:rowOff>2000</xdr:rowOff>
    </xdr:to>
    <xdr:graphicFrame macro="">
      <xdr:nvGraphicFramePr>
        <xdr:cNvPr id="28" name="Chart 27">
          <a:extLst>
            <a:ext uri="{FF2B5EF4-FFF2-40B4-BE49-F238E27FC236}">
              <a16:creationId xmlns:a16="http://schemas.microsoft.com/office/drawing/2014/main" id="{630605A0-99A8-497C-A8F0-3A8C5BE788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editAs="oneCell">
    <xdr:from>
      <xdr:col>12</xdr:col>
      <xdr:colOff>0</xdr:colOff>
      <xdr:row>212</xdr:row>
      <xdr:rowOff>0</xdr:rowOff>
    </xdr:from>
    <xdr:to>
      <xdr:col>18</xdr:col>
      <xdr:colOff>353126</xdr:colOff>
      <xdr:row>238</xdr:row>
      <xdr:rowOff>72960</xdr:rowOff>
    </xdr:to>
    <xdr:graphicFrame macro="">
      <xdr:nvGraphicFramePr>
        <xdr:cNvPr id="237" name="Chart 236">
          <a:extLst>
            <a:ext uri="{FF2B5EF4-FFF2-40B4-BE49-F238E27FC236}">
              <a16:creationId xmlns:a16="http://schemas.microsoft.com/office/drawing/2014/main" id="{06AF6E9E-46E3-40BC-86A9-B42FF2E093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editAs="oneCell">
    <xdr:from>
      <xdr:col>24</xdr:col>
      <xdr:colOff>0</xdr:colOff>
      <xdr:row>212</xdr:row>
      <xdr:rowOff>0</xdr:rowOff>
    </xdr:from>
    <xdr:to>
      <xdr:col>29</xdr:col>
      <xdr:colOff>751439</xdr:colOff>
      <xdr:row>237</xdr:row>
      <xdr:rowOff>129000</xdr:rowOff>
    </xdr:to>
    <xdr:graphicFrame macro="">
      <xdr:nvGraphicFramePr>
        <xdr:cNvPr id="239" name="Chart 238">
          <a:extLst>
            <a:ext uri="{FF2B5EF4-FFF2-40B4-BE49-F238E27FC236}">
              <a16:creationId xmlns:a16="http://schemas.microsoft.com/office/drawing/2014/main" id="{77CEAF18-CAA1-4CF4-A0DD-E64D3F3F8FC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editAs="oneCell">
    <xdr:from>
      <xdr:col>4</xdr:col>
      <xdr:colOff>0</xdr:colOff>
      <xdr:row>309</xdr:row>
      <xdr:rowOff>0</xdr:rowOff>
    </xdr:from>
    <xdr:to>
      <xdr:col>11</xdr:col>
      <xdr:colOff>485829</xdr:colOff>
      <xdr:row>328</xdr:row>
      <xdr:rowOff>183428</xdr:rowOff>
    </xdr:to>
    <xdr:graphicFrame macro="">
      <xdr:nvGraphicFramePr>
        <xdr:cNvPr id="240" name="Chart 239">
          <a:extLst>
            <a:ext uri="{FF2B5EF4-FFF2-40B4-BE49-F238E27FC236}">
              <a16:creationId xmlns:a16="http://schemas.microsoft.com/office/drawing/2014/main" id="{264B5D34-D72C-4674-B8E3-508A0FF1F24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oneCellAnchor>
    <xdr:from>
      <xdr:col>11</xdr:col>
      <xdr:colOff>0</xdr:colOff>
      <xdr:row>287</xdr:row>
      <xdr:rowOff>0</xdr:rowOff>
    </xdr:from>
    <xdr:ext cx="8280000" cy="4320000"/>
    <xdr:graphicFrame macro="">
      <xdr:nvGraphicFramePr>
        <xdr:cNvPr id="241" name="Chart 240">
          <a:extLst>
            <a:ext uri="{FF2B5EF4-FFF2-40B4-BE49-F238E27FC236}">
              <a16:creationId xmlns:a16="http://schemas.microsoft.com/office/drawing/2014/main" id="{DC571472-8916-4CBF-83D7-2FD4DA853E3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oneCellAnchor>
  <xdr:twoCellAnchor editAs="oneCell">
    <xdr:from>
      <xdr:col>23</xdr:col>
      <xdr:colOff>698499</xdr:colOff>
      <xdr:row>309</xdr:row>
      <xdr:rowOff>0</xdr:rowOff>
    </xdr:from>
    <xdr:to>
      <xdr:col>29</xdr:col>
      <xdr:colOff>748898</xdr:colOff>
      <xdr:row>329</xdr:row>
      <xdr:rowOff>2000</xdr:rowOff>
    </xdr:to>
    <xdr:graphicFrame macro="">
      <xdr:nvGraphicFramePr>
        <xdr:cNvPr id="242" name="Chart 241">
          <a:extLst>
            <a:ext uri="{FF2B5EF4-FFF2-40B4-BE49-F238E27FC236}">
              <a16:creationId xmlns:a16="http://schemas.microsoft.com/office/drawing/2014/main" id="{A1ED1CE2-4144-4C60-89A3-056B736F219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editAs="oneCell">
    <xdr:from>
      <xdr:col>10</xdr:col>
      <xdr:colOff>805542</xdr:colOff>
      <xdr:row>26</xdr:row>
      <xdr:rowOff>0</xdr:rowOff>
    </xdr:from>
    <xdr:to>
      <xdr:col>17</xdr:col>
      <xdr:colOff>217313</xdr:colOff>
      <xdr:row>46</xdr:row>
      <xdr:rowOff>96343</xdr:rowOff>
    </xdr:to>
    <xdr:graphicFrame macro="">
      <xdr:nvGraphicFramePr>
        <xdr:cNvPr id="243" name="Chart 242">
          <a:extLst>
            <a:ext uri="{FF2B5EF4-FFF2-40B4-BE49-F238E27FC236}">
              <a16:creationId xmlns:a16="http://schemas.microsoft.com/office/drawing/2014/main" id="{1CC23B5E-3765-471E-94BB-FFF6F7D312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editAs="oneCell">
    <xdr:from>
      <xdr:col>4</xdr:col>
      <xdr:colOff>0</xdr:colOff>
      <xdr:row>72</xdr:row>
      <xdr:rowOff>0</xdr:rowOff>
    </xdr:from>
    <xdr:to>
      <xdr:col>11</xdr:col>
      <xdr:colOff>494900</xdr:colOff>
      <xdr:row>92</xdr:row>
      <xdr:rowOff>2000</xdr:rowOff>
    </xdr:to>
    <xdr:graphicFrame macro="">
      <xdr:nvGraphicFramePr>
        <xdr:cNvPr id="244" name="Chart 243">
          <a:extLst>
            <a:ext uri="{FF2B5EF4-FFF2-40B4-BE49-F238E27FC236}">
              <a16:creationId xmlns:a16="http://schemas.microsoft.com/office/drawing/2014/main" id="{9D8CBF6B-D776-47C3-B5B3-50C877610D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editAs="oneCell">
    <xdr:from>
      <xdr:col>11</xdr:col>
      <xdr:colOff>0</xdr:colOff>
      <xdr:row>72</xdr:row>
      <xdr:rowOff>0</xdr:rowOff>
    </xdr:from>
    <xdr:to>
      <xdr:col>17</xdr:col>
      <xdr:colOff>228200</xdr:colOff>
      <xdr:row>92</xdr:row>
      <xdr:rowOff>2000</xdr:rowOff>
    </xdr:to>
    <xdr:graphicFrame macro="">
      <xdr:nvGraphicFramePr>
        <xdr:cNvPr id="245" name="Chart 244">
          <a:extLst>
            <a:ext uri="{FF2B5EF4-FFF2-40B4-BE49-F238E27FC236}">
              <a16:creationId xmlns:a16="http://schemas.microsoft.com/office/drawing/2014/main" id="{24285C1B-D9FD-4AF4-81A3-8E12986BE2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editAs="oneCell">
    <xdr:from>
      <xdr:col>24</xdr:col>
      <xdr:colOff>0</xdr:colOff>
      <xdr:row>182</xdr:row>
      <xdr:rowOff>0</xdr:rowOff>
    </xdr:from>
    <xdr:to>
      <xdr:col>29</xdr:col>
      <xdr:colOff>748899</xdr:colOff>
      <xdr:row>208</xdr:row>
      <xdr:rowOff>2000</xdr:rowOff>
    </xdr:to>
    <xdr:graphicFrame macro="">
      <xdr:nvGraphicFramePr>
        <xdr:cNvPr id="247" name="Chart 246">
          <a:extLst>
            <a:ext uri="{FF2B5EF4-FFF2-40B4-BE49-F238E27FC236}">
              <a16:creationId xmlns:a16="http://schemas.microsoft.com/office/drawing/2014/main" id="{A4548B5F-CB80-4FEC-A627-A58189A5C49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editAs="oneCell">
    <xdr:from>
      <xdr:col>30</xdr:col>
      <xdr:colOff>0</xdr:colOff>
      <xdr:row>182</xdr:row>
      <xdr:rowOff>0</xdr:rowOff>
    </xdr:from>
    <xdr:to>
      <xdr:col>36</xdr:col>
      <xdr:colOff>139300</xdr:colOff>
      <xdr:row>208</xdr:row>
      <xdr:rowOff>2000</xdr:rowOff>
    </xdr:to>
    <xdr:graphicFrame macro="">
      <xdr:nvGraphicFramePr>
        <xdr:cNvPr id="250" name="Chart 249">
          <a:extLst>
            <a:ext uri="{FF2B5EF4-FFF2-40B4-BE49-F238E27FC236}">
              <a16:creationId xmlns:a16="http://schemas.microsoft.com/office/drawing/2014/main" id="{41824E16-FBF8-475D-BF32-7FFC197D8EC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editAs="oneCell">
    <xdr:from>
      <xdr:col>30</xdr:col>
      <xdr:colOff>0</xdr:colOff>
      <xdr:row>212</xdr:row>
      <xdr:rowOff>0</xdr:rowOff>
    </xdr:from>
    <xdr:to>
      <xdr:col>36</xdr:col>
      <xdr:colOff>139300</xdr:colOff>
      <xdr:row>238</xdr:row>
      <xdr:rowOff>27400</xdr:rowOff>
    </xdr:to>
    <xdr:graphicFrame macro="">
      <xdr:nvGraphicFramePr>
        <xdr:cNvPr id="251" name="Chart 250">
          <a:extLst>
            <a:ext uri="{FF2B5EF4-FFF2-40B4-BE49-F238E27FC236}">
              <a16:creationId xmlns:a16="http://schemas.microsoft.com/office/drawing/2014/main" id="{2D47F425-2432-445E-8887-B7F34B7E47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oneCellAnchor>
    <xdr:from>
      <xdr:col>31</xdr:col>
      <xdr:colOff>0</xdr:colOff>
      <xdr:row>287</xdr:row>
      <xdr:rowOff>0</xdr:rowOff>
    </xdr:from>
    <xdr:ext cx="9334500" cy="4320000"/>
    <xdr:graphicFrame macro="">
      <xdr:nvGraphicFramePr>
        <xdr:cNvPr id="255" name="Chart 254">
          <a:extLst>
            <a:ext uri="{FF2B5EF4-FFF2-40B4-BE49-F238E27FC236}">
              <a16:creationId xmlns:a16="http://schemas.microsoft.com/office/drawing/2014/main" id="{77427E99-B4CD-4579-A35F-9148FBB463B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oneCellAnchor>
  <xdr:oneCellAnchor>
    <xdr:from>
      <xdr:col>11</xdr:col>
      <xdr:colOff>0</xdr:colOff>
      <xdr:row>332</xdr:row>
      <xdr:rowOff>0</xdr:rowOff>
    </xdr:from>
    <xdr:ext cx="8280000" cy="4320000"/>
    <xdr:graphicFrame macro="">
      <xdr:nvGraphicFramePr>
        <xdr:cNvPr id="35" name="Chart 34">
          <a:extLst>
            <a:ext uri="{FF2B5EF4-FFF2-40B4-BE49-F238E27FC236}">
              <a16:creationId xmlns:a16="http://schemas.microsoft.com/office/drawing/2014/main" id="{DF15DBA8-05F1-413B-A3DA-0F836595F3D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oneCellAnchor>
  <xdr:twoCellAnchor editAs="oneCell">
    <xdr:from>
      <xdr:col>24</xdr:col>
      <xdr:colOff>0</xdr:colOff>
      <xdr:row>332</xdr:row>
      <xdr:rowOff>0</xdr:rowOff>
    </xdr:from>
    <xdr:to>
      <xdr:col>29</xdr:col>
      <xdr:colOff>748899</xdr:colOff>
      <xdr:row>352</xdr:row>
      <xdr:rowOff>2000</xdr:rowOff>
    </xdr:to>
    <xdr:graphicFrame macro="">
      <xdr:nvGraphicFramePr>
        <xdr:cNvPr id="43" name="Chart 42">
          <a:extLst>
            <a:ext uri="{FF2B5EF4-FFF2-40B4-BE49-F238E27FC236}">
              <a16:creationId xmlns:a16="http://schemas.microsoft.com/office/drawing/2014/main" id="{1E129552-EF23-4D41-954B-EEE392D6ECF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oneCellAnchor>
    <xdr:from>
      <xdr:col>30</xdr:col>
      <xdr:colOff>0</xdr:colOff>
      <xdr:row>332</xdr:row>
      <xdr:rowOff>0</xdr:rowOff>
    </xdr:from>
    <xdr:ext cx="8280000" cy="4320000"/>
    <xdr:graphicFrame macro="">
      <xdr:nvGraphicFramePr>
        <xdr:cNvPr id="59" name="Chart 58">
          <a:extLst>
            <a:ext uri="{FF2B5EF4-FFF2-40B4-BE49-F238E27FC236}">
              <a16:creationId xmlns:a16="http://schemas.microsoft.com/office/drawing/2014/main" id="{D119EBB2-48FF-4E5F-90D8-25952EB33C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oneCellAnchor>
  <xdr:oneCellAnchor>
    <xdr:from>
      <xdr:col>11</xdr:col>
      <xdr:colOff>0</xdr:colOff>
      <xdr:row>390</xdr:row>
      <xdr:rowOff>0</xdr:rowOff>
    </xdr:from>
    <xdr:ext cx="8280000" cy="4320000"/>
    <xdr:graphicFrame macro="">
      <xdr:nvGraphicFramePr>
        <xdr:cNvPr id="60" name="Chart 59">
          <a:extLst>
            <a:ext uri="{FF2B5EF4-FFF2-40B4-BE49-F238E27FC236}">
              <a16:creationId xmlns:a16="http://schemas.microsoft.com/office/drawing/2014/main" id="{62B136A8-854E-4957-A55D-CC0A7F5EE8B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oneCellAnchor>
  <xdr:oneCellAnchor>
    <xdr:from>
      <xdr:col>24</xdr:col>
      <xdr:colOff>0</xdr:colOff>
      <xdr:row>390</xdr:row>
      <xdr:rowOff>0</xdr:rowOff>
    </xdr:from>
    <xdr:ext cx="8280000" cy="4320000"/>
    <xdr:graphicFrame macro="">
      <xdr:nvGraphicFramePr>
        <xdr:cNvPr id="63" name="Chart 62">
          <a:extLst>
            <a:ext uri="{FF2B5EF4-FFF2-40B4-BE49-F238E27FC236}">
              <a16:creationId xmlns:a16="http://schemas.microsoft.com/office/drawing/2014/main" id="{87B42DFF-6CB9-4BC2-9494-BB08DBC0CCD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oneCellAnchor>
  <xdr:oneCellAnchor>
    <xdr:from>
      <xdr:col>30</xdr:col>
      <xdr:colOff>0</xdr:colOff>
      <xdr:row>390</xdr:row>
      <xdr:rowOff>0</xdr:rowOff>
    </xdr:from>
    <xdr:ext cx="8656320" cy="4320000"/>
    <xdr:graphicFrame macro="">
      <xdr:nvGraphicFramePr>
        <xdr:cNvPr id="65" name="Chart 64">
          <a:extLst>
            <a:ext uri="{FF2B5EF4-FFF2-40B4-BE49-F238E27FC236}">
              <a16:creationId xmlns:a16="http://schemas.microsoft.com/office/drawing/2014/main" id="{29204A77-F7EB-4083-BEEA-4B31C52D53D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oneCellAnchor>
  <xdr:twoCellAnchor editAs="oneCell">
    <xdr:from>
      <xdr:col>24</xdr:col>
      <xdr:colOff>0</xdr:colOff>
      <xdr:row>411</xdr:row>
      <xdr:rowOff>0</xdr:rowOff>
    </xdr:from>
    <xdr:to>
      <xdr:col>29</xdr:col>
      <xdr:colOff>1111340</xdr:colOff>
      <xdr:row>431</xdr:row>
      <xdr:rowOff>76384</xdr:rowOff>
    </xdr:to>
    <xdr:graphicFrame macro="">
      <xdr:nvGraphicFramePr>
        <xdr:cNvPr id="70" name="Chart 69">
          <a:extLst>
            <a:ext uri="{FF2B5EF4-FFF2-40B4-BE49-F238E27FC236}">
              <a16:creationId xmlns:a16="http://schemas.microsoft.com/office/drawing/2014/main" id="{7609BB28-D0AB-4165-A7F1-2C37AE8BC7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oneCellAnchor>
    <xdr:from>
      <xdr:col>4</xdr:col>
      <xdr:colOff>0</xdr:colOff>
      <xdr:row>548</xdr:row>
      <xdr:rowOff>0</xdr:rowOff>
    </xdr:from>
    <xdr:ext cx="8280000" cy="4320000"/>
    <xdr:graphicFrame macro="">
      <xdr:nvGraphicFramePr>
        <xdr:cNvPr id="76" name="Chart 75">
          <a:extLst>
            <a:ext uri="{FF2B5EF4-FFF2-40B4-BE49-F238E27FC236}">
              <a16:creationId xmlns:a16="http://schemas.microsoft.com/office/drawing/2014/main" id="{D511294B-58FD-449B-9922-1C03FA0AD2C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oneCellAnchor>
  <xdr:oneCellAnchor>
    <xdr:from>
      <xdr:col>30</xdr:col>
      <xdr:colOff>0</xdr:colOff>
      <xdr:row>527</xdr:row>
      <xdr:rowOff>0</xdr:rowOff>
    </xdr:from>
    <xdr:ext cx="8280000" cy="4320000"/>
    <xdr:graphicFrame macro="">
      <xdr:nvGraphicFramePr>
        <xdr:cNvPr id="80" name="Chart 79">
          <a:extLst>
            <a:ext uri="{FF2B5EF4-FFF2-40B4-BE49-F238E27FC236}">
              <a16:creationId xmlns:a16="http://schemas.microsoft.com/office/drawing/2014/main" id="{83360920-5FAB-4523-ACD3-0D4E98D4926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oneCellAnchor>
  <xdr:oneCellAnchor>
    <xdr:from>
      <xdr:col>11</xdr:col>
      <xdr:colOff>0</xdr:colOff>
      <xdr:row>594</xdr:row>
      <xdr:rowOff>0</xdr:rowOff>
    </xdr:from>
    <xdr:ext cx="8280000" cy="4320000"/>
    <xdr:graphicFrame macro="">
      <xdr:nvGraphicFramePr>
        <xdr:cNvPr id="82" name="Chart 81">
          <a:extLst>
            <a:ext uri="{FF2B5EF4-FFF2-40B4-BE49-F238E27FC236}">
              <a16:creationId xmlns:a16="http://schemas.microsoft.com/office/drawing/2014/main" id="{EBA3F53A-40E6-4B4A-A05C-D472CAC6D62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oneCellAnchor>
  <xdr:oneCellAnchor>
    <xdr:from>
      <xdr:col>24</xdr:col>
      <xdr:colOff>0</xdr:colOff>
      <xdr:row>675</xdr:row>
      <xdr:rowOff>0</xdr:rowOff>
    </xdr:from>
    <xdr:ext cx="8280000" cy="4320000"/>
    <xdr:graphicFrame macro="">
      <xdr:nvGraphicFramePr>
        <xdr:cNvPr id="85" name="Chart 84">
          <a:extLst>
            <a:ext uri="{FF2B5EF4-FFF2-40B4-BE49-F238E27FC236}">
              <a16:creationId xmlns:a16="http://schemas.microsoft.com/office/drawing/2014/main" id="{1179535F-1220-4155-9B95-3B7D97F4BF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oneCellAnchor>
  <xdr:oneCellAnchor>
    <xdr:from>
      <xdr:col>29</xdr:col>
      <xdr:colOff>1498599</xdr:colOff>
      <xdr:row>654</xdr:row>
      <xdr:rowOff>0</xdr:rowOff>
    </xdr:from>
    <xdr:ext cx="8280000" cy="4320000"/>
    <xdr:graphicFrame macro="">
      <xdr:nvGraphicFramePr>
        <xdr:cNvPr id="90" name="Chart 89">
          <a:extLst>
            <a:ext uri="{FF2B5EF4-FFF2-40B4-BE49-F238E27FC236}">
              <a16:creationId xmlns:a16="http://schemas.microsoft.com/office/drawing/2014/main" id="{6A888103-0FE9-40E0-B5F2-546E19BC350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oneCellAnchor>
  <xdr:oneCellAnchor>
    <xdr:from>
      <xdr:col>11</xdr:col>
      <xdr:colOff>0</xdr:colOff>
      <xdr:row>654</xdr:row>
      <xdr:rowOff>0</xdr:rowOff>
    </xdr:from>
    <xdr:ext cx="8280000" cy="4320000"/>
    <xdr:graphicFrame macro="">
      <xdr:nvGraphicFramePr>
        <xdr:cNvPr id="91" name="Chart 90">
          <a:extLst>
            <a:ext uri="{FF2B5EF4-FFF2-40B4-BE49-F238E27FC236}">
              <a16:creationId xmlns:a16="http://schemas.microsoft.com/office/drawing/2014/main" id="{388E2578-CE63-4547-AF3C-5C216532ADC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oneCellAnchor>
  <xdr:oneCellAnchor>
    <xdr:from>
      <xdr:col>11</xdr:col>
      <xdr:colOff>0</xdr:colOff>
      <xdr:row>699</xdr:row>
      <xdr:rowOff>0</xdr:rowOff>
    </xdr:from>
    <xdr:ext cx="8280000" cy="4320000"/>
    <xdr:graphicFrame macro="">
      <xdr:nvGraphicFramePr>
        <xdr:cNvPr id="26" name="Chart 91">
          <a:extLst>
            <a:ext uri="{FF2B5EF4-FFF2-40B4-BE49-F238E27FC236}">
              <a16:creationId xmlns:a16="http://schemas.microsoft.com/office/drawing/2014/main" id="{F12C720F-5435-4B8C-BBF8-6716D61488F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oneCellAnchor>
  <xdr:oneCellAnchor>
    <xdr:from>
      <xdr:col>30</xdr:col>
      <xdr:colOff>0</xdr:colOff>
      <xdr:row>699</xdr:row>
      <xdr:rowOff>0</xdr:rowOff>
    </xdr:from>
    <xdr:ext cx="8280000" cy="4320000"/>
    <xdr:graphicFrame macro="">
      <xdr:nvGraphicFramePr>
        <xdr:cNvPr id="93" name="Chart 92">
          <a:extLst>
            <a:ext uri="{FF2B5EF4-FFF2-40B4-BE49-F238E27FC236}">
              <a16:creationId xmlns:a16="http://schemas.microsoft.com/office/drawing/2014/main" id="{FFF31751-9CC8-414D-88E6-F492E6E6FB5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oneCellAnchor>
  <xdr:oneCellAnchor>
    <xdr:from>
      <xdr:col>11</xdr:col>
      <xdr:colOff>0</xdr:colOff>
      <xdr:row>758</xdr:row>
      <xdr:rowOff>0</xdr:rowOff>
    </xdr:from>
    <xdr:ext cx="8280000" cy="4320000"/>
    <xdr:graphicFrame macro="">
      <xdr:nvGraphicFramePr>
        <xdr:cNvPr id="94" name="Chart 93">
          <a:extLst>
            <a:ext uri="{FF2B5EF4-FFF2-40B4-BE49-F238E27FC236}">
              <a16:creationId xmlns:a16="http://schemas.microsoft.com/office/drawing/2014/main" id="{4EFBEBC7-705B-47D1-A7FF-5318309FC5D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oneCellAnchor>
  <xdr:oneCellAnchor>
    <xdr:from>
      <xdr:col>24</xdr:col>
      <xdr:colOff>0</xdr:colOff>
      <xdr:row>758</xdr:row>
      <xdr:rowOff>0</xdr:rowOff>
    </xdr:from>
    <xdr:ext cx="8280000" cy="4320000"/>
    <xdr:graphicFrame macro="">
      <xdr:nvGraphicFramePr>
        <xdr:cNvPr id="98" name="Chart 97">
          <a:extLst>
            <a:ext uri="{FF2B5EF4-FFF2-40B4-BE49-F238E27FC236}">
              <a16:creationId xmlns:a16="http://schemas.microsoft.com/office/drawing/2014/main" id="{9C2BA836-05CD-4823-A869-D3F26498545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oneCellAnchor>
  <xdr:oneCellAnchor>
    <xdr:from>
      <xdr:col>30</xdr:col>
      <xdr:colOff>0</xdr:colOff>
      <xdr:row>758</xdr:row>
      <xdr:rowOff>0</xdr:rowOff>
    </xdr:from>
    <xdr:ext cx="8280000" cy="4320000"/>
    <xdr:graphicFrame macro="">
      <xdr:nvGraphicFramePr>
        <xdr:cNvPr id="101" name="Chart 100">
          <a:extLst>
            <a:ext uri="{FF2B5EF4-FFF2-40B4-BE49-F238E27FC236}">
              <a16:creationId xmlns:a16="http://schemas.microsoft.com/office/drawing/2014/main" id="{06ADA7A6-06C5-4BB4-9846-E77F4F8044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oneCellAnchor>
  <xdr:oneCellAnchor>
    <xdr:from>
      <xdr:col>30</xdr:col>
      <xdr:colOff>0</xdr:colOff>
      <xdr:row>803</xdr:row>
      <xdr:rowOff>0</xdr:rowOff>
    </xdr:from>
    <xdr:ext cx="8280000" cy="4320000"/>
    <xdr:graphicFrame macro="">
      <xdr:nvGraphicFramePr>
        <xdr:cNvPr id="110" name="Chart 109">
          <a:extLst>
            <a:ext uri="{FF2B5EF4-FFF2-40B4-BE49-F238E27FC236}">
              <a16:creationId xmlns:a16="http://schemas.microsoft.com/office/drawing/2014/main" id="{24BDAE7E-D02D-4627-A934-89ECB5082C0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oneCellAnchor>
  <xdr:oneCellAnchor>
    <xdr:from>
      <xdr:col>30</xdr:col>
      <xdr:colOff>0</xdr:colOff>
      <xdr:row>860</xdr:row>
      <xdr:rowOff>0</xdr:rowOff>
    </xdr:from>
    <xdr:ext cx="8280000" cy="4320000"/>
    <xdr:graphicFrame macro="">
      <xdr:nvGraphicFramePr>
        <xdr:cNvPr id="117" name="Chart 116">
          <a:extLst>
            <a:ext uri="{FF2B5EF4-FFF2-40B4-BE49-F238E27FC236}">
              <a16:creationId xmlns:a16="http://schemas.microsoft.com/office/drawing/2014/main" id="{584B8316-CDB3-4037-A9CD-702B5DD83B3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oneCellAnchor>
</xdr:wsDr>
</file>

<file path=xl/drawings/drawing12.xml><?xml version="1.0" encoding="utf-8"?>
<c:userShapes xmlns:c="http://schemas.openxmlformats.org/drawingml/2006/chart">
  <cdr:relSizeAnchor xmlns:cdr="http://schemas.openxmlformats.org/drawingml/2006/chartDrawing">
    <cdr:from>
      <cdr:x>0.8124</cdr:x>
      <cdr:y>0.15774</cdr:y>
    </cdr:from>
    <cdr:to>
      <cdr:x>0.96286</cdr:x>
      <cdr:y>0.39728</cdr:y>
    </cdr:to>
    <cdr:pic>
      <cdr:nvPicPr>
        <cdr:cNvPr id="4" name="Graphic 18">
          <a:extLst xmlns:a="http://schemas.openxmlformats.org/drawingml/2006/main">
            <a:ext uri="{FF2B5EF4-FFF2-40B4-BE49-F238E27FC236}">
              <a16:creationId xmlns:a16="http://schemas.microsoft.com/office/drawing/2014/main" id="{A9A940E5-F9EA-D947-E8F0-94E6FE8F78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159500" y="711200"/>
          <a:ext cx="1140798" cy="1080000"/>
        </a:xfrm>
        <a:prstGeom xmlns:a="http://schemas.openxmlformats.org/drawingml/2006/main" prst="rect">
          <a:avLst/>
        </a:prstGeom>
      </cdr:spPr>
    </cdr:pic>
  </cdr:relSizeAnchor>
  <cdr:relSizeAnchor xmlns:cdr="http://schemas.openxmlformats.org/drawingml/2006/chartDrawing">
    <cdr:from>
      <cdr:x>0.28978</cdr:x>
      <cdr:y>0.61688</cdr:y>
    </cdr:from>
    <cdr:to>
      <cdr:x>0.44025</cdr:x>
      <cdr:y>0.85641</cdr:y>
    </cdr:to>
    <cdr:pic>
      <cdr:nvPicPr>
        <cdr:cNvPr id="5" name="Graphic 20">
          <a:extLst xmlns:a="http://schemas.openxmlformats.org/drawingml/2006/main">
            <a:ext uri="{FF2B5EF4-FFF2-40B4-BE49-F238E27FC236}">
              <a16:creationId xmlns:a16="http://schemas.microsoft.com/office/drawing/2014/main" id="{05A7D491-5034-B0BF-5FF7-8B5E22CCB65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197100" y="2781300"/>
          <a:ext cx="1140798" cy="1080000"/>
        </a:xfrm>
        <a:prstGeom xmlns:a="http://schemas.openxmlformats.org/drawingml/2006/main" prst="rect">
          <a:avLst/>
        </a:prstGeom>
      </cdr:spPr>
    </cdr:pic>
  </cdr:relSizeAnchor>
</c:userShapes>
</file>

<file path=xl/drawings/drawing13.xml><?xml version="1.0" encoding="utf-8"?>
<c:userShapes xmlns:c="http://schemas.openxmlformats.org/drawingml/2006/chart">
  <cdr:relSizeAnchor xmlns:cdr="http://schemas.openxmlformats.org/drawingml/2006/chartDrawing">
    <cdr:from>
      <cdr:x>0.40936</cdr:x>
      <cdr:y>0.44195</cdr:y>
    </cdr:from>
    <cdr:to>
      <cdr:x>0.5774</cdr:x>
      <cdr:y>0.57928</cdr:y>
    </cdr:to>
    <cdr:sp macro="" textlink="'Losun | Emissions'!$A$26">
      <cdr:nvSpPr>
        <cdr:cNvPr id="2" name="TextBox 1">
          <a:extLst xmlns:a="http://schemas.openxmlformats.org/drawingml/2006/main">
            <a:ext uri="{FF2B5EF4-FFF2-40B4-BE49-F238E27FC236}">
              <a16:creationId xmlns:a16="http://schemas.microsoft.com/office/drawing/2014/main" id="{1BE339CA-120A-593C-0977-1122D257F382}"/>
            </a:ext>
          </a:extLst>
        </cdr:cNvPr>
        <cdr:cNvSpPr txBox="1"/>
      </cdr:nvSpPr>
      <cdr:spPr>
        <a:xfrm xmlns:a="http://schemas.openxmlformats.org/drawingml/2006/main">
          <a:off x="3178504" y="1901093"/>
          <a:ext cx="1304766" cy="5907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83C7A6D9-DAFD-47C6-A9B8-E7221AC66B74}" type="TxLink">
            <a:rPr lang="en-US" sz="1400" b="1" i="0" u="none" strike="noStrike" kern="1200">
              <a:solidFill>
                <a:sysClr val="windowText" lastClr="000000"/>
              </a:solidFill>
              <a:latin typeface="Segoe UI"/>
              <a:cs typeface="Segoe UI"/>
            </a:rPr>
            <a:pPr algn="ctr"/>
            <a:t>Losun Íslands 2025</a:t>
          </a:fld>
          <a:endParaRPr lang="is-IS" sz="1400" b="1" kern="1200">
            <a:solidFill>
              <a:sysClr val="windowText" lastClr="000000"/>
            </a:solidFill>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0.45663</cdr:x>
      <cdr:y>0.44144</cdr:y>
    </cdr:from>
    <cdr:to>
      <cdr:x>0.64523</cdr:x>
      <cdr:y>0.5971</cdr:y>
    </cdr:to>
    <cdr:sp macro="" textlink="'Losun | Emissions'!$A$367">
      <cdr:nvSpPr>
        <cdr:cNvPr id="2" name="TextBox 12">
          <a:extLst xmlns:a="http://schemas.openxmlformats.org/drawingml/2006/main">
            <a:ext uri="{FF2B5EF4-FFF2-40B4-BE49-F238E27FC236}">
              <a16:creationId xmlns:a16="http://schemas.microsoft.com/office/drawing/2014/main" id="{43F01129-07CD-1889-DBA1-DBDEC422CAA7}"/>
            </a:ext>
          </a:extLst>
        </cdr:cNvPr>
        <cdr:cNvSpPr txBox="1"/>
      </cdr:nvSpPr>
      <cdr:spPr>
        <a:xfrm xmlns:a="http://schemas.openxmlformats.org/drawingml/2006/main">
          <a:off x="3566886" y="1944915"/>
          <a:ext cx="1473200" cy="6858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915573C7-0678-46E4-8C5B-D1B38BAF647B}" type="TxLink">
            <a:rPr lang="en-US" sz="1400" b="1" i="0" u="none" strike="noStrike">
              <a:solidFill>
                <a:sysClr val="windowText" lastClr="000000"/>
              </a:solidFill>
              <a:latin typeface="Segoe UI"/>
              <a:cs typeface="Segoe UI"/>
            </a:rPr>
            <a:pPr algn="ctr"/>
            <a:t>IÐNAÐUR OG VÖRUNOTKUN 2025</a:t>
          </a:fld>
          <a:endParaRPr lang="is-IS" sz="3200" b="1">
            <a:solidFill>
              <a:sysClr val="windowText" lastClr="000000"/>
            </a:solidFill>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0.40755</cdr:x>
      <cdr:y>0.41452</cdr:y>
    </cdr:from>
    <cdr:to>
      <cdr:x>0.58155</cdr:x>
      <cdr:y>0.59193</cdr:y>
    </cdr:to>
    <cdr:sp macro="" textlink="'Losun | Emissions'!$B$26">
      <cdr:nvSpPr>
        <cdr:cNvPr id="3" name="TextBox 1">
          <a:extLst xmlns:a="http://schemas.openxmlformats.org/drawingml/2006/main">
            <a:ext uri="{FF2B5EF4-FFF2-40B4-BE49-F238E27FC236}">
              <a16:creationId xmlns:a16="http://schemas.microsoft.com/office/drawing/2014/main" id="{9818A4ED-5BEB-DCAC-DAF7-9E133A85F9CD}"/>
            </a:ext>
          </a:extLst>
        </cdr:cNvPr>
        <cdr:cNvSpPr txBox="1"/>
      </cdr:nvSpPr>
      <cdr:spPr>
        <a:xfrm xmlns:a="http://schemas.openxmlformats.org/drawingml/2006/main">
          <a:off x="3178629" y="1814284"/>
          <a:ext cx="1357086" cy="7765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1F7135F7-D379-4B58-A72E-AC10CBF06701}" type="TxLink">
            <a:rPr lang="en-US" sz="1400" b="1" i="0" u="none" strike="noStrike" kern="1200">
              <a:solidFill>
                <a:sysClr val="windowText" lastClr="000000"/>
              </a:solidFill>
              <a:latin typeface="Segoe UI"/>
              <a:cs typeface="Segoe UI"/>
            </a:rPr>
            <a:pPr algn="ctr"/>
            <a:t>Iceland's Emissions in 2025</a:t>
          </a:fld>
          <a:endParaRPr lang="is-IS" sz="2400" b="1" kern="1200">
            <a:solidFill>
              <a:sysClr val="windowText" lastClr="000000"/>
            </a:solidFill>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0.39878</cdr:x>
      <cdr:y>0.3683</cdr:y>
    </cdr:from>
    <cdr:to>
      <cdr:x>0.5716</cdr:x>
      <cdr:y>0.54501</cdr:y>
    </cdr:to>
    <cdr:sp macro="" textlink="'Losun | Emissions'!$B$26">
      <cdr:nvSpPr>
        <cdr:cNvPr id="2" name="TextBox 1">
          <a:extLst xmlns:a="http://schemas.openxmlformats.org/drawingml/2006/main">
            <a:ext uri="{FF2B5EF4-FFF2-40B4-BE49-F238E27FC236}">
              <a16:creationId xmlns:a16="http://schemas.microsoft.com/office/drawing/2014/main" id="{B68B60D2-FFF7-D317-D64B-4EB7CEE3241D}"/>
            </a:ext>
          </a:extLst>
        </cdr:cNvPr>
        <cdr:cNvSpPr txBox="1"/>
      </cdr:nvSpPr>
      <cdr:spPr>
        <a:xfrm xmlns:a="http://schemas.openxmlformats.org/drawingml/2006/main">
          <a:off x="3131458" y="1618343"/>
          <a:ext cx="1357086" cy="7765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8A96164-6DF2-479E-BBE4-784D9EACEEF9}" type="TxLink">
            <a:rPr lang="en-US" sz="1400" b="1" i="0" u="none" strike="noStrike" kern="1200">
              <a:solidFill>
                <a:sysClr val="windowText" lastClr="000000"/>
              </a:solidFill>
              <a:latin typeface="Segoe UI"/>
              <a:cs typeface="Segoe UI"/>
            </a:rPr>
            <a:pPr algn="ctr"/>
            <a:t>Iceland's Emissions in 2025</a:t>
          </a:fld>
          <a:endParaRPr lang="is-IS" sz="4000" b="1" kern="1200">
            <a:solidFill>
              <a:sysClr val="windowText" lastClr="000000"/>
            </a:solidFill>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0.51374</cdr:x>
      <cdr:y>0.42516</cdr:y>
    </cdr:from>
    <cdr:to>
      <cdr:x>0.68096</cdr:x>
      <cdr:y>0.56218</cdr:y>
    </cdr:to>
    <cdr:sp macro="" textlink="'Losun | Emissions'!$A$157">
      <cdr:nvSpPr>
        <cdr:cNvPr id="4" name="TextBox 1">
          <a:extLst xmlns:a="http://schemas.openxmlformats.org/drawingml/2006/main">
            <a:ext uri="{FF2B5EF4-FFF2-40B4-BE49-F238E27FC236}">
              <a16:creationId xmlns:a16="http://schemas.microsoft.com/office/drawing/2014/main" id="{8A1E2FC0-92D7-2AB7-174E-3ED026688BCE}"/>
            </a:ext>
          </a:extLst>
        </cdr:cNvPr>
        <cdr:cNvSpPr txBox="1"/>
      </cdr:nvSpPr>
      <cdr:spPr>
        <a:xfrm xmlns:a="http://schemas.openxmlformats.org/drawingml/2006/main">
          <a:off x="4013199" y="1857828"/>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94DD619-8A00-4055-B33B-870A02E1AE7B}" type="TxLink">
            <a:rPr lang="en-US" sz="1400" b="1" i="0" u="none" strike="noStrike" kern="1200">
              <a:solidFill>
                <a:sysClr val="windowText" lastClr="000000"/>
              </a:solidFill>
              <a:latin typeface="Segoe UI"/>
              <a:cs typeface="Segoe UI"/>
            </a:rPr>
            <a:pPr algn="ctr"/>
            <a:t>Losun Íslands 2025</a:t>
          </a:fld>
          <a:endParaRPr lang="is-IS" sz="2400" b="1" kern="1200">
            <a:solidFill>
              <a:sysClr val="windowText" lastClr="000000"/>
            </a:solidFill>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0.50514</cdr:x>
      <cdr:y>0.40025</cdr:y>
    </cdr:from>
    <cdr:to>
      <cdr:x>0.67183</cdr:x>
      <cdr:y>0.53727</cdr:y>
    </cdr:to>
    <cdr:sp macro="" textlink="'Losun | Emissions'!$B$157">
      <cdr:nvSpPr>
        <cdr:cNvPr id="2" name="TextBox 1">
          <a:extLst xmlns:a="http://schemas.openxmlformats.org/drawingml/2006/main">
            <a:ext uri="{FF2B5EF4-FFF2-40B4-BE49-F238E27FC236}">
              <a16:creationId xmlns:a16="http://schemas.microsoft.com/office/drawing/2014/main" id="{84806418-ACF0-CFD6-CA2E-C8D7E7381C1F}"/>
            </a:ext>
          </a:extLst>
        </cdr:cNvPr>
        <cdr:cNvSpPr txBox="1"/>
      </cdr:nvSpPr>
      <cdr:spPr>
        <a:xfrm xmlns:a="http://schemas.openxmlformats.org/drawingml/2006/main">
          <a:off x="3958772" y="1748971"/>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63A1CC-3940-4A92-8ABF-2CBE24925F0E}" type="TxLink">
            <a:rPr lang="en-US" sz="1400" b="1" i="0" u="none" strike="noStrike" kern="1200">
              <a:solidFill>
                <a:sysClr val="windowText" lastClr="000000"/>
              </a:solidFill>
              <a:latin typeface="Segoe UI"/>
              <a:cs typeface="Segoe UI"/>
            </a:rPr>
            <a:pPr algn="ctr"/>
            <a:t>Iceland's Emissions in 2025</a:t>
          </a:fld>
          <a:endParaRPr lang="is-IS" sz="4000" b="1" kern="1200">
            <a:solidFill>
              <a:sysClr val="windowText" lastClr="000000"/>
            </a:solidFill>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0.61032</cdr:x>
      <cdr:y>0.44265</cdr:y>
    </cdr:from>
    <cdr:to>
      <cdr:x>0.72207</cdr:x>
      <cdr:y>0.6014</cdr:y>
    </cdr:to>
    <cdr:sp macro="" textlink="'Losun | Emissions'!$B$257">
      <cdr:nvSpPr>
        <cdr:cNvPr id="2" name="TextBox 12">
          <a:extLst xmlns:a="http://schemas.openxmlformats.org/drawingml/2006/main">
            <a:ext uri="{FF2B5EF4-FFF2-40B4-BE49-F238E27FC236}">
              <a16:creationId xmlns:a16="http://schemas.microsoft.com/office/drawing/2014/main" id="{43F01129-07CD-1889-DBA1-DBDEC422CAA7}"/>
            </a:ext>
          </a:extLst>
        </cdr:cNvPr>
        <cdr:cNvSpPr txBox="1"/>
      </cdr:nvSpPr>
      <cdr:spPr>
        <a:xfrm xmlns:a="http://schemas.openxmlformats.org/drawingml/2006/main">
          <a:off x="4855029" y="1912257"/>
          <a:ext cx="889000" cy="6858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9863836A-DBC6-44A7-8624-29CEA4DFBEDE}" type="TxLink">
            <a:rPr lang="en-US" sz="1400" b="1" i="0" u="none" strike="noStrike">
              <a:solidFill>
                <a:sysClr val="windowText" lastClr="000000"/>
              </a:solidFill>
              <a:latin typeface="Segoe UI"/>
              <a:cs typeface="Segoe UI"/>
            </a:rPr>
            <a:pPr algn="ctr"/>
            <a:t>ENERGY 2025</a:t>
          </a:fld>
          <a:endParaRPr lang="is-IS" sz="3200" b="1">
            <a:solidFill>
              <a:sysClr val="windowText" lastClr="000000"/>
            </a:solidFill>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0.8063</cdr:x>
      <cdr:y>0</cdr:y>
    </cdr:from>
    <cdr:to>
      <cdr:x>1</cdr:x>
      <cdr:y>0.14867</cdr:y>
    </cdr:to>
    <cdr:sp macro="" textlink="'Losun | Emissions'!$A$630">
      <cdr:nvSpPr>
        <cdr:cNvPr id="2" name="TextBox 1">
          <a:extLst xmlns:a="http://schemas.openxmlformats.org/drawingml/2006/main">
            <a:ext uri="{FF2B5EF4-FFF2-40B4-BE49-F238E27FC236}">
              <a16:creationId xmlns:a16="http://schemas.microsoft.com/office/drawing/2014/main" id="{5C7F91F0-0ACF-E33E-956B-247986BD487B}"/>
            </a:ext>
          </a:extLst>
        </cdr:cNvPr>
        <cdr:cNvSpPr txBox="1"/>
      </cdr:nvSpPr>
      <cdr:spPr>
        <a:xfrm xmlns:a="http://schemas.openxmlformats.org/drawingml/2006/main">
          <a:off x="6343966" y="0"/>
          <a:ext cx="1524000" cy="64225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nchor="ctr"/>
        <a:lstStyle xmlns:a="http://schemas.openxmlformats.org/drawingml/2006/main"/>
        <a:p xmlns:a="http://schemas.openxmlformats.org/drawingml/2006/main">
          <a:pPr algn="ctr"/>
          <a:fld id="{CDBC15A5-B70F-4D22-9391-CAB8A086518F}" type="TxLink">
            <a:rPr lang="en-US" sz="1400" b="0" i="0" u="none" strike="noStrike" kern="1200">
              <a:solidFill>
                <a:sysClr val="windowText" lastClr="000000"/>
              </a:solidFill>
              <a:latin typeface="Segoe UI"/>
              <a:cs typeface="Segoe UI"/>
            </a:rPr>
            <a:pPr algn="ctr"/>
            <a:t>LANDNOTKUN 2025</a:t>
          </a:fld>
          <a:endParaRPr lang="is-IS" sz="1800" b="0" kern="1200">
            <a:solidFill>
              <a:sysClr val="windowText" lastClr="000000"/>
            </a:solidFill>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0.44983</cdr:x>
      <cdr:y>0.40191</cdr:y>
    </cdr:from>
    <cdr:to>
      <cdr:x>0.65321</cdr:x>
      <cdr:y>0.62016</cdr:y>
    </cdr:to>
    <cdr:sp macro="" textlink="'Losun | Emissions'!$B$367">
      <cdr:nvSpPr>
        <cdr:cNvPr id="2" name="TextBox 12">
          <a:extLst xmlns:a="http://schemas.openxmlformats.org/drawingml/2006/main">
            <a:ext uri="{FF2B5EF4-FFF2-40B4-BE49-F238E27FC236}">
              <a16:creationId xmlns:a16="http://schemas.microsoft.com/office/drawing/2014/main" id="{2DD4A71D-2672-74C2-9624-C15AE4C25B6A}"/>
            </a:ext>
          </a:extLst>
        </cdr:cNvPr>
        <cdr:cNvSpPr txBox="1"/>
      </cdr:nvSpPr>
      <cdr:spPr>
        <a:xfrm xmlns:a="http://schemas.openxmlformats.org/drawingml/2006/main">
          <a:off x="3523342" y="1770742"/>
          <a:ext cx="1592943" cy="9615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8256F33-14B6-49E7-9534-2950324393A4}" type="TxLink">
            <a:rPr lang="en-US" sz="1400" b="1" i="0" u="none" strike="noStrike">
              <a:solidFill>
                <a:sysClr val="windowText" lastClr="000000"/>
              </a:solidFill>
              <a:latin typeface="Segoe UI"/>
              <a:cs typeface="Segoe UI"/>
            </a:rPr>
            <a:pPr algn="ctr"/>
            <a:t>INDUSTRY AND PRODUCT USE 2025</a:t>
          </a:fld>
          <a:endParaRPr lang="is-IS" sz="4800" b="1">
            <a:solidFill>
              <a:sysClr val="windowText" lastClr="000000"/>
            </a:solidFill>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0.4063</cdr:x>
      <cdr:y>0.45969</cdr:y>
    </cdr:from>
    <cdr:to>
      <cdr:x>0.54984</cdr:x>
      <cdr:y>0.62469</cdr:y>
    </cdr:to>
    <cdr:sp macro="" textlink="'Losun | Emissions'!$B$734">
      <cdr:nvSpPr>
        <cdr:cNvPr id="2" name="TextBox 16">
          <a:extLst xmlns:a="http://schemas.openxmlformats.org/drawingml/2006/main">
            <a:ext uri="{FF2B5EF4-FFF2-40B4-BE49-F238E27FC236}">
              <a16:creationId xmlns:a16="http://schemas.microsoft.com/office/drawing/2014/main" id="{7E6DA2C7-7BEA-1ACD-B55B-CC9452F830D0}"/>
            </a:ext>
          </a:extLst>
        </cdr:cNvPr>
        <cdr:cNvSpPr txBox="1"/>
      </cdr:nvSpPr>
      <cdr:spPr>
        <a:xfrm xmlns:a="http://schemas.openxmlformats.org/drawingml/2006/main">
          <a:off x="3153228" y="2031999"/>
          <a:ext cx="1113972"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AF774B9A-D9F5-4230-B3D9-BD7D924D5359}" type="TxLink">
            <a:rPr lang="en-US" sz="1400" b="1" i="0" u="none" strike="noStrike">
              <a:solidFill>
                <a:sysClr val="windowText" lastClr="000000"/>
              </a:solidFill>
              <a:latin typeface="Segoe UI"/>
              <a:cs typeface="Segoe UI"/>
            </a:rPr>
            <a:pPr algn="ctr"/>
            <a:t>WASTE 2025</a:t>
          </a:fld>
          <a:endParaRPr lang="is-IS" sz="3200" b="1">
            <a:solidFill>
              <a:sysClr val="windowText" lastClr="000000"/>
            </a:solidFill>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0.39866</cdr:x>
      <cdr:y>0.448</cdr:y>
    </cdr:from>
    <cdr:to>
      <cdr:x>0.60868</cdr:x>
      <cdr:y>0.61887</cdr:y>
    </cdr:to>
    <cdr:sp macro="" textlink="'Losun | Emissions'!$B$837">
      <cdr:nvSpPr>
        <cdr:cNvPr id="2" name="TextBox 16">
          <a:extLst xmlns:a="http://schemas.openxmlformats.org/drawingml/2006/main">
            <a:ext uri="{FF2B5EF4-FFF2-40B4-BE49-F238E27FC236}">
              <a16:creationId xmlns:a16="http://schemas.microsoft.com/office/drawing/2014/main" id="{0781B14F-F301-0120-50F9-69858FEB6727}"/>
            </a:ext>
          </a:extLst>
        </cdr:cNvPr>
        <cdr:cNvSpPr txBox="1"/>
      </cdr:nvSpPr>
      <cdr:spPr>
        <a:xfrm xmlns:a="http://schemas.openxmlformats.org/drawingml/2006/main">
          <a:off x="3113315" y="1912257"/>
          <a:ext cx="1640142"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F5C2BEA-DDD0-4740-BEC0-3E43091BD07E}" type="TxLink">
            <a:rPr lang="en-US" sz="1200" b="1" i="0" u="none" strike="noStrike">
              <a:solidFill>
                <a:sysClr val="windowText" lastClr="000000"/>
              </a:solidFill>
              <a:latin typeface="Segoe UI"/>
              <a:cs typeface="Segoe UI"/>
            </a:rPr>
            <a:pPr algn="ctr"/>
            <a:t>INTERNATIONAL TRANSPORTATION 2025</a:t>
          </a:fld>
          <a:endParaRPr lang="is-IS" sz="4400" b="1">
            <a:solidFill>
              <a:sysClr val="windowText" lastClr="000000"/>
            </a:solidFill>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0.40238</cdr:x>
      <cdr:y>0.4327</cdr:y>
    </cdr:from>
    <cdr:to>
      <cdr:x>0.60729</cdr:x>
      <cdr:y>0.60357</cdr:y>
    </cdr:to>
    <cdr:sp macro="" textlink="'Losun | Emissions'!$A$837">
      <cdr:nvSpPr>
        <cdr:cNvPr id="2" name="TextBox 16">
          <a:extLst xmlns:a="http://schemas.openxmlformats.org/drawingml/2006/main">
            <a:ext uri="{FF2B5EF4-FFF2-40B4-BE49-F238E27FC236}">
              <a16:creationId xmlns:a16="http://schemas.microsoft.com/office/drawing/2014/main" id="{7E6DA2C7-7BEA-1ACD-B55B-CC9452F830D0}"/>
            </a:ext>
          </a:extLst>
        </cdr:cNvPr>
        <cdr:cNvSpPr txBox="1"/>
      </cdr:nvSpPr>
      <cdr:spPr>
        <a:xfrm xmlns:a="http://schemas.openxmlformats.org/drawingml/2006/main">
          <a:off x="3142343" y="1846942"/>
          <a:ext cx="1600200"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454B74F-4C33-4E1F-99C7-2F0744469FDB}" type="TxLink">
            <a:rPr lang="en-US" sz="1400" b="1" i="0" u="none" strike="noStrike">
              <a:solidFill>
                <a:sysClr val="windowText" lastClr="000000"/>
              </a:solidFill>
              <a:latin typeface="Segoe UI"/>
              <a:cs typeface="Segoe UI"/>
            </a:rPr>
            <a:pPr algn="ctr"/>
            <a:t>ALÞJÓÐA-SAMGÖNGUR 2025</a:t>
          </a:fld>
          <a:endParaRPr lang="is-IS" sz="3200" b="1">
            <a:solidFill>
              <a:sysClr val="windowText" lastClr="000000"/>
            </a:solidFill>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0.4885</cdr:x>
      <cdr:y>0.47998</cdr:y>
    </cdr:from>
    <cdr:to>
      <cdr:x>0.66309</cdr:x>
      <cdr:y>0.76298</cdr:y>
    </cdr:to>
    <cdr:pic>
      <cdr:nvPicPr>
        <cdr:cNvPr id="2" name="Graphic 6">
          <a:extLst xmlns:a="http://schemas.openxmlformats.org/drawingml/2006/main">
            <a:ext uri="{FF2B5EF4-FFF2-40B4-BE49-F238E27FC236}">
              <a16:creationId xmlns:a16="http://schemas.microsoft.com/office/drawing/2014/main" id="{427528D8-E0F3-073A-0B05-0B569285DB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4181452" y="2103987"/>
          <a:ext cx="1494456" cy="1240530"/>
        </a:xfrm>
        <a:prstGeom xmlns:a="http://schemas.openxmlformats.org/drawingml/2006/main" prst="rect">
          <a:avLst/>
        </a:prstGeom>
      </cdr:spPr>
    </cdr:pic>
  </cdr:relSizeAnchor>
</c:userShapes>
</file>

<file path=xl/drawings/drawing26.xml><?xml version="1.0" encoding="utf-8"?>
<c:userShapes xmlns:c="http://schemas.openxmlformats.org/drawingml/2006/chart">
  <cdr:relSizeAnchor xmlns:cdr="http://schemas.openxmlformats.org/drawingml/2006/chartDrawing">
    <cdr:from>
      <cdr:x>0.85222</cdr:x>
      <cdr:y>0.08075</cdr:y>
    </cdr:from>
    <cdr:to>
      <cdr:x>1</cdr:x>
      <cdr:y>0.32029</cdr:y>
    </cdr:to>
    <cdr:pic>
      <cdr:nvPicPr>
        <cdr:cNvPr id="2" name="Graphic 4">
          <a:extLst xmlns:a="http://schemas.openxmlformats.org/drawingml/2006/main">
            <a:ext uri="{FF2B5EF4-FFF2-40B4-BE49-F238E27FC236}">
              <a16:creationId xmlns:a16="http://schemas.microsoft.com/office/drawing/2014/main" id="{24610A56-DA67-D4BA-924F-7A7B0C05CA4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937668" y="364070"/>
          <a:ext cx="1203032" cy="1080010"/>
        </a:xfrm>
        <a:prstGeom xmlns:a="http://schemas.openxmlformats.org/drawingml/2006/main" prst="rect">
          <a:avLst/>
        </a:prstGeom>
      </cdr:spPr>
    </cdr:pic>
  </cdr:relSizeAnchor>
  <cdr:relSizeAnchor xmlns:cdr="http://schemas.openxmlformats.org/drawingml/2006/chartDrawing">
    <cdr:from>
      <cdr:x>0.31669</cdr:x>
      <cdr:y>0.41067</cdr:y>
    </cdr:from>
    <cdr:to>
      <cdr:x>0.48518</cdr:x>
      <cdr:y>0.69867</cdr:y>
    </cdr:to>
    <cdr:pic>
      <cdr:nvPicPr>
        <cdr:cNvPr id="3" name="Graphic 10">
          <a:extLst xmlns:a="http://schemas.openxmlformats.org/drawingml/2006/main">
            <a:ext uri="{FF2B5EF4-FFF2-40B4-BE49-F238E27FC236}">
              <a16:creationId xmlns:a16="http://schemas.microsoft.com/office/drawing/2014/main" id="{24F3D2C8-0C2D-8A2D-D71D-BA18BD618B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578100" y="1851598"/>
          <a:ext cx="1371600" cy="1298502"/>
        </a:xfrm>
        <a:prstGeom xmlns:a="http://schemas.openxmlformats.org/drawingml/2006/main" prst="rect">
          <a:avLst/>
        </a:prstGeom>
      </cdr:spPr>
    </cdr:pic>
  </cdr:relSizeAnchor>
</c:userShapes>
</file>

<file path=xl/drawings/drawing27.xml><?xml version="1.0" encoding="utf-8"?>
<c:userShapes xmlns:c="http://schemas.openxmlformats.org/drawingml/2006/chart">
  <cdr:relSizeAnchor xmlns:cdr="http://schemas.openxmlformats.org/drawingml/2006/chartDrawing">
    <cdr:from>
      <cdr:x>0.8124</cdr:x>
      <cdr:y>0.15774</cdr:y>
    </cdr:from>
    <cdr:to>
      <cdr:x>0.96286</cdr:x>
      <cdr:y>0.39728</cdr:y>
    </cdr:to>
    <cdr:pic>
      <cdr:nvPicPr>
        <cdr:cNvPr id="4" name="Graphic 18">
          <a:extLst xmlns:a="http://schemas.openxmlformats.org/drawingml/2006/main">
            <a:ext uri="{FF2B5EF4-FFF2-40B4-BE49-F238E27FC236}">
              <a16:creationId xmlns:a16="http://schemas.microsoft.com/office/drawing/2014/main" id="{A9A940E5-F9EA-D947-E8F0-94E6FE8F78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159500" y="711200"/>
          <a:ext cx="1140798" cy="1080000"/>
        </a:xfrm>
        <a:prstGeom xmlns:a="http://schemas.openxmlformats.org/drawingml/2006/main" prst="rect">
          <a:avLst/>
        </a:prstGeom>
      </cdr:spPr>
    </cdr:pic>
  </cdr:relSizeAnchor>
  <cdr:relSizeAnchor xmlns:cdr="http://schemas.openxmlformats.org/drawingml/2006/chartDrawing">
    <cdr:from>
      <cdr:x>0.28978</cdr:x>
      <cdr:y>0.61688</cdr:y>
    </cdr:from>
    <cdr:to>
      <cdr:x>0.44025</cdr:x>
      <cdr:y>0.85641</cdr:y>
    </cdr:to>
    <cdr:pic>
      <cdr:nvPicPr>
        <cdr:cNvPr id="5" name="Graphic 20">
          <a:extLst xmlns:a="http://schemas.openxmlformats.org/drawingml/2006/main">
            <a:ext uri="{FF2B5EF4-FFF2-40B4-BE49-F238E27FC236}">
              <a16:creationId xmlns:a16="http://schemas.microsoft.com/office/drawing/2014/main" id="{05A7D491-5034-B0BF-5FF7-8B5E22CCB65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197100" y="2781300"/>
          <a:ext cx="1140798" cy="1080000"/>
        </a:xfrm>
        <a:prstGeom xmlns:a="http://schemas.openxmlformats.org/drawingml/2006/main" prst="rect">
          <a:avLst/>
        </a:prstGeom>
      </cdr:spPr>
    </cdr:pic>
  </cdr:relSizeAnchor>
</c:userShapes>
</file>

<file path=xl/drawings/drawing28.xml><?xml version="1.0" encoding="utf-8"?>
<c:userShapes xmlns:c="http://schemas.openxmlformats.org/drawingml/2006/chart">
  <cdr:relSizeAnchor xmlns:cdr="http://schemas.openxmlformats.org/drawingml/2006/chartDrawing">
    <cdr:from>
      <cdr:x>0.49656</cdr:x>
      <cdr:y>0.43803</cdr:y>
    </cdr:from>
    <cdr:to>
      <cdr:x>0.65318</cdr:x>
      <cdr:y>0.68803</cdr:y>
    </cdr:to>
    <cdr:pic>
      <cdr:nvPicPr>
        <cdr:cNvPr id="2" name="Graphic 16">
          <a:extLst xmlns:a="http://schemas.openxmlformats.org/drawingml/2006/main">
            <a:ext uri="{FF2B5EF4-FFF2-40B4-BE49-F238E27FC236}">
              <a16:creationId xmlns:a16="http://schemas.microsoft.com/office/drawing/2014/main" id="{BA074003-E2DE-CD5C-3E91-CBAD6DF8B6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924300" y="1892300"/>
          <a:ext cx="1237828" cy="1080000"/>
        </a:xfrm>
        <a:prstGeom xmlns:a="http://schemas.openxmlformats.org/drawingml/2006/main" prst="rect">
          <a:avLst/>
        </a:prstGeom>
      </cdr:spPr>
    </cdr:pic>
  </cdr:relSizeAnchor>
  <cdr:relSizeAnchor xmlns:cdr="http://schemas.openxmlformats.org/drawingml/2006/chartDrawing">
    <cdr:from>
      <cdr:x>0.74564</cdr:x>
      <cdr:y>0.75</cdr:y>
    </cdr:from>
    <cdr:to>
      <cdr:x>0.90227</cdr:x>
      <cdr:y>1</cdr:y>
    </cdr:to>
    <cdr:pic>
      <cdr:nvPicPr>
        <cdr:cNvPr id="3" name="Graphic 14">
          <a:extLst xmlns:a="http://schemas.openxmlformats.org/drawingml/2006/main">
            <a:ext uri="{FF2B5EF4-FFF2-40B4-BE49-F238E27FC236}">
              <a16:creationId xmlns:a16="http://schemas.microsoft.com/office/drawing/2014/main" id="{5B714D3B-7C73-A352-4B0B-7A20293A402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892800" y="3240000"/>
          <a:ext cx="1237828" cy="1080000"/>
        </a:xfrm>
        <a:prstGeom xmlns:a="http://schemas.openxmlformats.org/drawingml/2006/main" prst="rect">
          <a:avLst/>
        </a:prstGeom>
      </cdr:spPr>
    </cdr:pic>
  </cdr:relSizeAnchor>
</c:userShapes>
</file>

<file path=xl/drawings/drawing29.xml><?xml version="1.0" encoding="utf-8"?>
<c:userShapes xmlns:c="http://schemas.openxmlformats.org/drawingml/2006/chart">
  <cdr:relSizeAnchor xmlns:cdr="http://schemas.openxmlformats.org/drawingml/2006/chartDrawing">
    <cdr:from>
      <cdr:x>0.8063</cdr:x>
      <cdr:y>0</cdr:y>
    </cdr:from>
    <cdr:to>
      <cdr:x>1</cdr:x>
      <cdr:y>0.14867</cdr:y>
    </cdr:to>
    <cdr:sp macro="" textlink="'Losun | Emissions'!$B$630">
      <cdr:nvSpPr>
        <cdr:cNvPr id="2" name="TextBox 1">
          <a:extLst xmlns:a="http://schemas.openxmlformats.org/drawingml/2006/main">
            <a:ext uri="{FF2B5EF4-FFF2-40B4-BE49-F238E27FC236}">
              <a16:creationId xmlns:a16="http://schemas.microsoft.com/office/drawing/2014/main" id="{5C7F91F0-0ACF-E33E-956B-247986BD487B}"/>
            </a:ext>
          </a:extLst>
        </cdr:cNvPr>
        <cdr:cNvSpPr txBox="1"/>
      </cdr:nvSpPr>
      <cdr:spPr>
        <a:xfrm xmlns:a="http://schemas.openxmlformats.org/drawingml/2006/main">
          <a:off x="6343966" y="0"/>
          <a:ext cx="1524000" cy="64225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nchor="ctr"/>
        <a:lstStyle xmlns:a="http://schemas.openxmlformats.org/drawingml/2006/main"/>
        <a:p xmlns:a="http://schemas.openxmlformats.org/drawingml/2006/main">
          <a:pPr marL="0" indent="0" algn="ctr"/>
          <a:fld id="{298194C4-7988-4BC6-BEFD-B3E2544755AB}" type="TxLink">
            <a:rPr lang="en-US" sz="1400" b="0" i="0" u="none" strike="noStrike" kern="1200">
              <a:solidFill>
                <a:sysClr val="windowText" lastClr="000000"/>
              </a:solidFill>
              <a:latin typeface="Segoe UI"/>
              <a:ea typeface="+mn-ea"/>
              <a:cs typeface="Segoe UI"/>
            </a:rPr>
            <a:pPr marL="0" indent="0" algn="ctr"/>
            <a:t>LULUCF 2025</a:t>
          </a:fld>
          <a:endParaRPr lang="is-IS" sz="1400" b="0" i="0" u="none" strike="noStrike" kern="1200">
            <a:solidFill>
              <a:sysClr val="windowText" lastClr="000000"/>
            </a:solidFill>
            <a:latin typeface="Segoe UI"/>
            <a:ea typeface="+mn-ea"/>
            <a:cs typeface="Segoe UI"/>
          </a:endParaRPr>
        </a:p>
      </cdr:txBody>
    </cdr:sp>
  </cdr:relSizeAnchor>
</c:userShapes>
</file>

<file path=xl/drawings/drawing30.xml><?xml version="1.0" encoding="utf-8"?>
<c:userShapes xmlns:c="http://schemas.openxmlformats.org/drawingml/2006/chart">
  <cdr:relSizeAnchor xmlns:cdr="http://schemas.openxmlformats.org/drawingml/2006/chartDrawing">
    <cdr:from>
      <cdr:x>0.39242</cdr:x>
      <cdr:y>0.45754</cdr:y>
    </cdr:from>
    <cdr:to>
      <cdr:x>0.59717</cdr:x>
      <cdr:y>0.59506</cdr:y>
    </cdr:to>
    <cdr:sp macro="" textlink="'Losun | Emissions'!$A$497">
      <cdr:nvSpPr>
        <cdr:cNvPr id="2" name="TextBox 16">
          <a:extLst xmlns:a="http://schemas.openxmlformats.org/drawingml/2006/main">
            <a:ext uri="{FF2B5EF4-FFF2-40B4-BE49-F238E27FC236}">
              <a16:creationId xmlns:a16="http://schemas.microsoft.com/office/drawing/2014/main" id="{0D9FD218-BFDA-6A69-E526-75ACA31FC900}"/>
            </a:ext>
          </a:extLst>
        </cdr:cNvPr>
        <cdr:cNvSpPr txBox="1"/>
      </cdr:nvSpPr>
      <cdr:spPr>
        <a:xfrm xmlns:a="http://schemas.openxmlformats.org/drawingml/2006/main">
          <a:off x="3087881" y="1955790"/>
          <a:ext cx="1611139" cy="58783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1E118F3-5D4B-4C4D-B743-C1608715DB21}" type="TxLink">
            <a:rPr lang="en-US" sz="1400" b="1" i="0" u="none" strike="noStrike">
              <a:solidFill>
                <a:sysClr val="windowText" lastClr="000000"/>
              </a:solidFill>
              <a:latin typeface="Segoe UI"/>
              <a:cs typeface="Segoe UI"/>
            </a:rPr>
            <a:pPr algn="ctr"/>
            <a:t>LANDBÚNAÐUR 2025</a:t>
          </a:fld>
          <a:endParaRPr lang="is-IS" sz="3200" b="1">
            <a:solidFill>
              <a:sysClr val="windowText" lastClr="000000"/>
            </a:solidFill>
          </a:endParaRPr>
        </a:p>
      </cdr:txBody>
    </cdr:sp>
  </cdr:relSizeAnchor>
</c:userShapes>
</file>

<file path=xl/drawings/drawing31.xml><?xml version="1.0" encoding="utf-8"?>
<c:userShapes xmlns:c="http://schemas.openxmlformats.org/drawingml/2006/chart">
  <cdr:relSizeAnchor xmlns:cdr="http://schemas.openxmlformats.org/drawingml/2006/chartDrawing">
    <cdr:from>
      <cdr:x>0.39546</cdr:x>
      <cdr:y>0.42576</cdr:y>
    </cdr:from>
    <cdr:to>
      <cdr:x>0.59963</cdr:x>
      <cdr:y>0.56288</cdr:y>
    </cdr:to>
    <cdr:sp macro="" textlink="">
      <cdr:nvSpPr>
        <cdr:cNvPr id="3" name="TextBox 16">
          <a:extLst xmlns:a="http://schemas.openxmlformats.org/drawingml/2006/main">
            <a:ext uri="{FF2B5EF4-FFF2-40B4-BE49-F238E27FC236}">
              <a16:creationId xmlns:a16="http://schemas.microsoft.com/office/drawing/2014/main" id="{E76E3730-EFDF-1F87-E84E-6D0BB31E639B}"/>
            </a:ext>
          </a:extLst>
        </cdr:cNvPr>
        <cdr:cNvSpPr txBox="1"/>
      </cdr:nvSpPr>
      <cdr:spPr>
        <a:xfrm xmlns:a="http://schemas.openxmlformats.org/drawingml/2006/main">
          <a:off x="3120572" y="1825172"/>
          <a:ext cx="1611139" cy="58783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1E118F3-5D4B-4C4D-B743-C1608715DB21}" type="TxLink">
            <a:rPr lang="en-US" sz="1400" b="1" i="0" u="none" strike="noStrike">
              <a:solidFill>
                <a:sysClr val="windowText" lastClr="000000"/>
              </a:solidFill>
              <a:latin typeface="Segoe UI"/>
              <a:cs typeface="Segoe UI"/>
            </a:rPr>
            <a:pPr algn="ctr"/>
            <a:t>LANDBÚNAÐUR 2025</a:t>
          </a:fld>
          <a:endParaRPr lang="is-IS" sz="3200" b="1">
            <a:solidFill>
              <a:sysClr val="windowText" lastClr="000000"/>
            </a:solidFill>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0.31394</cdr:x>
      <cdr:y>0.45797</cdr:y>
    </cdr:from>
    <cdr:to>
      <cdr:x>0.51994</cdr:x>
      <cdr:y>0.59485</cdr:y>
    </cdr:to>
    <cdr:sp macro="" textlink="'Losun | Emissions'!$B$497">
      <cdr:nvSpPr>
        <cdr:cNvPr id="3" name="TextBox 16">
          <a:extLst xmlns:a="http://schemas.openxmlformats.org/drawingml/2006/main">
            <a:ext uri="{FF2B5EF4-FFF2-40B4-BE49-F238E27FC236}">
              <a16:creationId xmlns:a16="http://schemas.microsoft.com/office/drawing/2014/main" id="{0F765C48-912B-4C4C-D5BB-1C481EA119AD}"/>
            </a:ext>
          </a:extLst>
        </cdr:cNvPr>
        <cdr:cNvSpPr txBox="1"/>
      </cdr:nvSpPr>
      <cdr:spPr>
        <a:xfrm xmlns:a="http://schemas.openxmlformats.org/drawingml/2006/main">
          <a:off x="2599406" y="1978430"/>
          <a:ext cx="1705680" cy="5913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60D31A6-64D7-4258-B4C9-111A864C1BA0}" type="TxLink">
            <a:rPr lang="en-US" sz="1400" b="1" i="0" u="none" strike="noStrike">
              <a:solidFill>
                <a:sysClr val="windowText" lastClr="000000"/>
              </a:solidFill>
              <a:latin typeface="Segoe UI"/>
              <a:cs typeface="Segoe UI"/>
            </a:rPr>
            <a:pPr algn="ctr"/>
            <a:t>AGRICULTURE 2025</a:t>
          </a:fld>
          <a:endParaRPr lang="is-IS" sz="4800" b="1">
            <a:solidFill>
              <a:sysClr val="windowText" lastClr="000000"/>
            </a:solidFill>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0.33163</cdr:x>
      <cdr:y>0.44907</cdr:y>
    </cdr:from>
    <cdr:to>
      <cdr:x>0.53728</cdr:x>
      <cdr:y>0.58633</cdr:y>
    </cdr:to>
    <cdr:sp macro="" textlink="'Losun | Emissions'!$B$497">
      <cdr:nvSpPr>
        <cdr:cNvPr id="2" name="TextBox 16">
          <a:extLst xmlns:a="http://schemas.openxmlformats.org/drawingml/2006/main">
            <a:ext uri="{FF2B5EF4-FFF2-40B4-BE49-F238E27FC236}">
              <a16:creationId xmlns:a16="http://schemas.microsoft.com/office/drawing/2014/main" id="{C5279EA4-DDC4-D371-46D1-70A56B7E0807}"/>
            </a:ext>
          </a:extLst>
        </cdr:cNvPr>
        <cdr:cNvSpPr txBox="1"/>
      </cdr:nvSpPr>
      <cdr:spPr>
        <a:xfrm xmlns:a="http://schemas.openxmlformats.org/drawingml/2006/main">
          <a:off x="2598057" y="1923143"/>
          <a:ext cx="1611086" cy="5878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FFEF4A3-AB67-4A93-879E-8AAAF138077F}" type="TxLink">
            <a:rPr lang="en-US" sz="1400" b="1" i="0" u="none" strike="noStrike">
              <a:solidFill>
                <a:sysClr val="windowText" lastClr="000000"/>
              </a:solidFill>
              <a:latin typeface="Segoe UI"/>
              <a:cs typeface="Segoe UI"/>
            </a:rPr>
            <a:pPr algn="ctr"/>
            <a:t>AGRICULTURE 2025</a:t>
          </a:fld>
          <a:endParaRPr lang="is-IS" sz="3200" b="1">
            <a:solidFill>
              <a:sysClr val="windowText" lastClr="000000"/>
            </a:solidFill>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0.85222</cdr:x>
      <cdr:y>0.08075</cdr:y>
    </cdr:from>
    <cdr:to>
      <cdr:x>1</cdr:x>
      <cdr:y>0.32029</cdr:y>
    </cdr:to>
    <cdr:pic>
      <cdr:nvPicPr>
        <cdr:cNvPr id="2" name="Graphic 4">
          <a:extLst xmlns:a="http://schemas.openxmlformats.org/drawingml/2006/main">
            <a:ext uri="{FF2B5EF4-FFF2-40B4-BE49-F238E27FC236}">
              <a16:creationId xmlns:a16="http://schemas.microsoft.com/office/drawing/2014/main" id="{24610A56-DA67-D4BA-924F-7A7B0C05CA4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937668" y="364070"/>
          <a:ext cx="1203032" cy="1080010"/>
        </a:xfrm>
        <a:prstGeom xmlns:a="http://schemas.openxmlformats.org/drawingml/2006/main" prst="rect">
          <a:avLst/>
        </a:prstGeom>
      </cdr:spPr>
    </cdr:pic>
  </cdr:relSizeAnchor>
  <cdr:relSizeAnchor xmlns:cdr="http://schemas.openxmlformats.org/drawingml/2006/chartDrawing">
    <cdr:from>
      <cdr:x>0.31669</cdr:x>
      <cdr:y>0.41067</cdr:y>
    </cdr:from>
    <cdr:to>
      <cdr:x>0.48518</cdr:x>
      <cdr:y>0.69867</cdr:y>
    </cdr:to>
    <cdr:pic>
      <cdr:nvPicPr>
        <cdr:cNvPr id="3" name="Graphic 10">
          <a:extLst xmlns:a="http://schemas.openxmlformats.org/drawingml/2006/main">
            <a:ext uri="{FF2B5EF4-FFF2-40B4-BE49-F238E27FC236}">
              <a16:creationId xmlns:a16="http://schemas.microsoft.com/office/drawing/2014/main" id="{24F3D2C8-0C2D-8A2D-D71D-BA18BD618B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578100" y="1851598"/>
          <a:ext cx="1371600" cy="1298502"/>
        </a:xfrm>
        <a:prstGeom xmlns:a="http://schemas.openxmlformats.org/drawingml/2006/main" prst="rect">
          <a:avLst/>
        </a:prstGeom>
      </cdr:spPr>
    </cdr:pic>
  </cdr:relSizeAnchor>
</c:userShapes>
</file>

<file path=xl/drawings/drawing35.xml><?xml version="1.0" encoding="utf-8"?>
<c:userShapes xmlns:c="http://schemas.openxmlformats.org/drawingml/2006/chart">
  <cdr:relSizeAnchor xmlns:cdr="http://schemas.openxmlformats.org/drawingml/2006/chartDrawing">
    <cdr:from>
      <cdr:x>0.29256</cdr:x>
      <cdr:y>0.6427</cdr:y>
    </cdr:from>
    <cdr:to>
      <cdr:x>0.44396</cdr:x>
      <cdr:y>0.88908</cdr:y>
    </cdr:to>
    <cdr:pic>
      <cdr:nvPicPr>
        <cdr:cNvPr id="4" name="Graphic 4">
          <a:extLst xmlns:a="http://schemas.openxmlformats.org/drawingml/2006/main">
            <a:ext uri="{FF2B5EF4-FFF2-40B4-BE49-F238E27FC236}">
              <a16:creationId xmlns:a16="http://schemas.microsoft.com/office/drawing/2014/main" id="{B44D18A3-97BE-5876-E98B-4B13B3976F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246882" y="2817290"/>
          <a:ext cx="1162752" cy="1080007"/>
        </a:xfrm>
        <a:prstGeom xmlns:a="http://schemas.openxmlformats.org/drawingml/2006/main" prst="rect">
          <a:avLst/>
        </a:prstGeom>
      </cdr:spPr>
    </cdr:pic>
  </cdr:relSizeAnchor>
  <cdr:relSizeAnchor xmlns:cdr="http://schemas.openxmlformats.org/drawingml/2006/chartDrawing">
    <cdr:from>
      <cdr:x>0.77041</cdr:x>
      <cdr:y>0.11254</cdr:y>
    </cdr:from>
    <cdr:to>
      <cdr:x>0.92181</cdr:x>
      <cdr:y>0.35891</cdr:y>
    </cdr:to>
    <cdr:pic>
      <cdr:nvPicPr>
        <cdr:cNvPr id="5" name="Graphic 7">
          <a:extLst xmlns:a="http://schemas.openxmlformats.org/drawingml/2006/main">
            <a:ext uri="{FF2B5EF4-FFF2-40B4-BE49-F238E27FC236}">
              <a16:creationId xmlns:a16="http://schemas.microsoft.com/office/drawing/2014/main" id="{BF367594-5A73-AAC8-BFC0-9C7CF6C2E3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378988" y="486185"/>
          <a:ext cx="1253592" cy="1064318"/>
        </a:xfrm>
        <a:prstGeom xmlns:a="http://schemas.openxmlformats.org/drawingml/2006/main" prst="rect">
          <a:avLst/>
        </a:prstGeom>
      </cdr:spPr>
    </cdr:pic>
  </cdr:relSizeAnchor>
</c:userShapes>
</file>

<file path=xl/drawings/drawing36.xml><?xml version="1.0" encoding="utf-8"?>
<c:userShapes xmlns:c="http://schemas.openxmlformats.org/drawingml/2006/chart">
  <cdr:relSizeAnchor xmlns:cdr="http://schemas.openxmlformats.org/drawingml/2006/chartDrawing">
    <cdr:from>
      <cdr:x>0.29256</cdr:x>
      <cdr:y>0.6427</cdr:y>
    </cdr:from>
    <cdr:to>
      <cdr:x>0.44396</cdr:x>
      <cdr:y>0.88908</cdr:y>
    </cdr:to>
    <cdr:pic>
      <cdr:nvPicPr>
        <cdr:cNvPr id="4" name="Graphic 4">
          <a:extLst xmlns:a="http://schemas.openxmlformats.org/drawingml/2006/main">
            <a:ext uri="{FF2B5EF4-FFF2-40B4-BE49-F238E27FC236}">
              <a16:creationId xmlns:a16="http://schemas.microsoft.com/office/drawing/2014/main" id="{B44D18A3-97BE-5876-E98B-4B13B3976F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246882" y="2817290"/>
          <a:ext cx="1162752" cy="1080007"/>
        </a:xfrm>
        <a:prstGeom xmlns:a="http://schemas.openxmlformats.org/drawingml/2006/main" prst="rect">
          <a:avLst/>
        </a:prstGeom>
      </cdr:spPr>
    </cdr:pic>
  </cdr:relSizeAnchor>
  <cdr:relSizeAnchor xmlns:cdr="http://schemas.openxmlformats.org/drawingml/2006/chartDrawing">
    <cdr:from>
      <cdr:x>0.8322</cdr:x>
      <cdr:y>0.1579</cdr:y>
    </cdr:from>
    <cdr:to>
      <cdr:x>0.9836</cdr:x>
      <cdr:y>0.40427</cdr:y>
    </cdr:to>
    <cdr:pic>
      <cdr:nvPicPr>
        <cdr:cNvPr id="5" name="Graphic 7">
          <a:extLst xmlns:a="http://schemas.openxmlformats.org/drawingml/2006/main">
            <a:ext uri="{FF2B5EF4-FFF2-40B4-BE49-F238E27FC236}">
              <a16:creationId xmlns:a16="http://schemas.microsoft.com/office/drawing/2014/main" id="{BF367594-5A73-AAC8-BFC0-9C7CF6C2E3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391317" y="692168"/>
          <a:ext cx="1162752" cy="1079963"/>
        </a:xfrm>
        <a:prstGeom xmlns:a="http://schemas.openxmlformats.org/drawingml/2006/main" prst="rect">
          <a:avLst/>
        </a:prstGeom>
      </cdr:spPr>
    </cdr:pic>
  </cdr:relSizeAnchor>
</c:userShapes>
</file>

<file path=xl/drawings/drawing37.xml><?xml version="1.0" encoding="utf-8"?>
<c:userShapes xmlns:c="http://schemas.openxmlformats.org/drawingml/2006/chart">
  <cdr:relSizeAnchor xmlns:cdr="http://schemas.openxmlformats.org/drawingml/2006/chartDrawing">
    <cdr:from>
      <cdr:x>0.39638</cdr:x>
      <cdr:y>0.39097</cdr:y>
    </cdr:from>
    <cdr:to>
      <cdr:x>0.56347</cdr:x>
      <cdr:y>0.52736</cdr:y>
    </cdr:to>
    <cdr:sp macro="" textlink="'Losun | Emissions'!$A$26">
      <cdr:nvSpPr>
        <cdr:cNvPr id="2" name="TextBox 1">
          <a:extLst xmlns:a="http://schemas.openxmlformats.org/drawingml/2006/main">
            <a:ext uri="{FF2B5EF4-FFF2-40B4-BE49-F238E27FC236}">
              <a16:creationId xmlns:a16="http://schemas.microsoft.com/office/drawing/2014/main" id="{4D331524-F5CA-131A-F630-EB78C586953A}"/>
            </a:ext>
          </a:extLst>
        </cdr:cNvPr>
        <cdr:cNvSpPr txBox="1"/>
      </cdr:nvSpPr>
      <cdr:spPr>
        <a:xfrm xmlns:a="http://schemas.openxmlformats.org/drawingml/2006/main">
          <a:off x="3098800" y="1716314"/>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12F3956-7942-4A44-A0D6-4E68C19F5DB0}" type="TxLink">
            <a:rPr lang="en-US" sz="1400" b="1" i="0" u="none" strike="noStrike" kern="1200">
              <a:solidFill>
                <a:sysClr val="windowText" lastClr="000000"/>
              </a:solidFill>
              <a:latin typeface="Segoe UI"/>
              <a:cs typeface="Segoe UI"/>
            </a:rPr>
            <a:pPr algn="ctr"/>
            <a:t>Losun Íslands 2025</a:t>
          </a:fld>
          <a:endParaRPr lang="is-IS" sz="2400" b="1" kern="1200">
            <a:solidFill>
              <a:sysClr val="windowText" lastClr="000000"/>
            </a:solidFill>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0.4885</cdr:x>
      <cdr:y>0.47998</cdr:y>
    </cdr:from>
    <cdr:to>
      <cdr:x>0.66309</cdr:x>
      <cdr:y>0.76298</cdr:y>
    </cdr:to>
    <cdr:pic>
      <cdr:nvPicPr>
        <cdr:cNvPr id="2" name="Graphic 6">
          <a:extLst xmlns:a="http://schemas.openxmlformats.org/drawingml/2006/main">
            <a:ext uri="{FF2B5EF4-FFF2-40B4-BE49-F238E27FC236}">
              <a16:creationId xmlns:a16="http://schemas.microsoft.com/office/drawing/2014/main" id="{427528D8-E0F3-073A-0B05-0B569285DB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4181452" y="2103987"/>
          <a:ext cx="1494456" cy="1240530"/>
        </a:xfrm>
        <a:prstGeom xmlns:a="http://schemas.openxmlformats.org/drawingml/2006/main" prst="rect">
          <a:avLst/>
        </a:prstGeom>
      </cdr:spPr>
    </cdr:pic>
  </cdr:relSizeAnchor>
</c:userShapes>
</file>

<file path=xl/drawings/drawing39.xml><?xml version="1.0" encoding="utf-8"?>
<c:userShapes xmlns:c="http://schemas.openxmlformats.org/drawingml/2006/chart">
  <cdr:relSizeAnchor xmlns:cdr="http://schemas.openxmlformats.org/drawingml/2006/chartDrawing">
    <cdr:from>
      <cdr:x>0.49656</cdr:x>
      <cdr:y>0.43803</cdr:y>
    </cdr:from>
    <cdr:to>
      <cdr:x>0.65318</cdr:x>
      <cdr:y>0.68803</cdr:y>
    </cdr:to>
    <cdr:pic>
      <cdr:nvPicPr>
        <cdr:cNvPr id="2" name="Graphic 16">
          <a:extLst xmlns:a="http://schemas.openxmlformats.org/drawingml/2006/main">
            <a:ext uri="{FF2B5EF4-FFF2-40B4-BE49-F238E27FC236}">
              <a16:creationId xmlns:a16="http://schemas.microsoft.com/office/drawing/2014/main" id="{BA074003-E2DE-CD5C-3E91-CBAD6DF8B6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924300" y="1892300"/>
          <a:ext cx="1237828" cy="1080000"/>
        </a:xfrm>
        <a:prstGeom xmlns:a="http://schemas.openxmlformats.org/drawingml/2006/main" prst="rect">
          <a:avLst/>
        </a:prstGeom>
      </cdr:spPr>
    </cdr:pic>
  </cdr:relSizeAnchor>
  <cdr:relSizeAnchor xmlns:cdr="http://schemas.openxmlformats.org/drawingml/2006/chartDrawing">
    <cdr:from>
      <cdr:x>0.74564</cdr:x>
      <cdr:y>0.75</cdr:y>
    </cdr:from>
    <cdr:to>
      <cdr:x>0.90227</cdr:x>
      <cdr:y>1</cdr:y>
    </cdr:to>
    <cdr:pic>
      <cdr:nvPicPr>
        <cdr:cNvPr id="3" name="Graphic 14">
          <a:extLst xmlns:a="http://schemas.openxmlformats.org/drawingml/2006/main">
            <a:ext uri="{FF2B5EF4-FFF2-40B4-BE49-F238E27FC236}">
              <a16:creationId xmlns:a16="http://schemas.microsoft.com/office/drawing/2014/main" id="{5B714D3B-7C73-A352-4B0B-7A20293A402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892800" y="3240000"/>
          <a:ext cx="1237828" cy="1080000"/>
        </a:xfrm>
        <a:prstGeom xmlns:a="http://schemas.openxmlformats.org/drawingml/2006/main" prst="rect">
          <a:avLst/>
        </a:prstGeom>
      </cdr:spPr>
    </cdr:pic>
  </cdr:relSizeAnchor>
</c:userShapes>
</file>

<file path=xl/drawings/drawing40.xml><?xml version="1.0" encoding="utf-8"?>
<xdr:wsDr xmlns:xdr="http://schemas.openxmlformats.org/drawingml/2006/spreadsheetDrawing" xmlns:a="http://schemas.openxmlformats.org/drawingml/2006/main">
  <xdr:twoCellAnchor>
    <xdr:from>
      <xdr:col>44</xdr:col>
      <xdr:colOff>15240</xdr:colOff>
      <xdr:row>0</xdr:row>
      <xdr:rowOff>160020</xdr:rowOff>
    </xdr:from>
    <xdr:to>
      <xdr:col>44</xdr:col>
      <xdr:colOff>24765</xdr:colOff>
      <xdr:row>351</xdr:row>
      <xdr:rowOff>160020</xdr:rowOff>
    </xdr:to>
    <xdr:cxnSp macro="">
      <xdr:nvCxnSpPr>
        <xdr:cNvPr id="3" name="Straight Connector 2">
          <a:extLst>
            <a:ext uri="{FF2B5EF4-FFF2-40B4-BE49-F238E27FC236}">
              <a16:creationId xmlns:a16="http://schemas.microsoft.com/office/drawing/2014/main" id="{2D231C96-F466-FDD6-AB87-6D86CAFD0D13}"/>
            </a:ext>
          </a:extLst>
        </xdr:cNvPr>
        <xdr:cNvCxnSpPr/>
      </xdr:nvCxnSpPr>
      <xdr:spPr>
        <a:xfrm>
          <a:off x="33971865" y="160020"/>
          <a:ext cx="9525" cy="102084188"/>
        </a:xfrm>
        <a:prstGeom prst="line">
          <a:avLst/>
        </a:prstGeom>
        <a:ln w="28575">
          <a:solidFill>
            <a:schemeClr val="accent1"/>
          </a:solidFill>
          <a:prstDash val="dash"/>
        </a:ln>
      </xdr:spPr>
      <xdr:style>
        <a:lnRef idx="1">
          <a:schemeClr val="accent4"/>
        </a:lnRef>
        <a:fillRef idx="0">
          <a:schemeClr val="accent4"/>
        </a:fillRef>
        <a:effectRef idx="0">
          <a:schemeClr val="accent4"/>
        </a:effectRef>
        <a:fontRef idx="minor">
          <a:schemeClr val="tx1"/>
        </a:fontRef>
      </xdr:style>
    </xdr:cxnSp>
    <xdr:clientData/>
  </xdr:twoCellAnchor>
</xdr:wsDr>
</file>

<file path=xl/theme/theme1.xml><?xml version="1.0" encoding="utf-8"?>
<a:theme xmlns:a="http://schemas.openxmlformats.org/drawingml/2006/main" name="Office Theme">
  <a:themeElements>
    <a:clrScheme name="Custom 1">
      <a:dk1>
        <a:srgbClr val="00302F"/>
      </a:dk1>
      <a:lt1>
        <a:srgbClr val="FFFFFF"/>
      </a:lt1>
      <a:dk2>
        <a:srgbClr val="00BDA2"/>
      </a:dk2>
      <a:lt2>
        <a:srgbClr val="00827F"/>
      </a:lt2>
      <a:accent1>
        <a:srgbClr val="338DE9"/>
      </a:accent1>
      <a:accent2>
        <a:srgbClr val="0E547B"/>
      </a:accent2>
      <a:accent3>
        <a:srgbClr val="FF573C"/>
      </a:accent3>
      <a:accent4>
        <a:srgbClr val="58F194"/>
      </a:accent4>
      <a:accent5>
        <a:srgbClr val="5B4346"/>
      </a:accent5>
      <a:accent6>
        <a:srgbClr val="FFAA70"/>
      </a:accent6>
      <a:hlink>
        <a:srgbClr val="0E547B"/>
      </a:hlink>
      <a:folHlink>
        <a:srgbClr val="338DE9"/>
      </a:folHlink>
    </a:clrScheme>
    <a:fontScheme name="UOS - MS">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0.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3112-03E7-49FE-982C-14181604CF21}">
  <sheetPr>
    <tabColor theme="0"/>
  </sheetPr>
  <dimension ref="A2:B9"/>
  <sheetViews>
    <sheetView tabSelected="1" workbookViewId="0">
      <selection activeCell="C2" sqref="C2"/>
    </sheetView>
  </sheetViews>
  <sheetFormatPr defaultColWidth="8.69921875" defaultRowHeight="16.8" x14ac:dyDescent="0.4"/>
  <cols>
    <col min="1" max="1" width="21.09765625" style="1" customWidth="1"/>
    <col min="2" max="2" width="91.59765625" style="1" customWidth="1"/>
    <col min="3" max="3" width="6.5" style="1" customWidth="1"/>
    <col min="4" max="12" width="6" style="1" customWidth="1"/>
    <col min="13" max="16384" width="8.69921875" style="1"/>
  </cols>
  <sheetData>
    <row r="2" spans="1:2" ht="34.799999999999997" x14ac:dyDescent="0.75">
      <c r="B2" s="784" t="s">
        <v>0</v>
      </c>
    </row>
    <row r="3" spans="1:2" x14ac:dyDescent="0.4">
      <c r="A3" s="184"/>
      <c r="B3" s="785"/>
    </row>
    <row r="4" spans="1:2" ht="51" customHeight="1" x14ac:dyDescent="0.4">
      <c r="A4" s="187" t="s">
        <v>328</v>
      </c>
      <c r="B4" s="808" t="s">
        <v>457</v>
      </c>
    </row>
    <row r="5" spans="1:2" ht="79.95" customHeight="1" x14ac:dyDescent="0.4">
      <c r="A5" s="186"/>
      <c r="B5" s="809" t="s">
        <v>326</v>
      </c>
    </row>
    <row r="6" spans="1:2" ht="78.599999999999994" customHeight="1" x14ac:dyDescent="0.4">
      <c r="A6" s="186" t="s">
        <v>379</v>
      </c>
      <c r="B6" s="810" t="s">
        <v>458</v>
      </c>
    </row>
    <row r="7" spans="1:2" ht="66" customHeight="1" x14ac:dyDescent="0.4">
      <c r="A7" s="186" t="s">
        <v>380</v>
      </c>
      <c r="B7" s="811" t="s">
        <v>325</v>
      </c>
    </row>
    <row r="8" spans="1:2" x14ac:dyDescent="0.4">
      <c r="A8" s="185"/>
      <c r="B8" s="785"/>
    </row>
    <row r="9" spans="1:2" ht="92.4" customHeight="1" x14ac:dyDescent="0.4">
      <c r="B9" s="786" t="s">
        <v>327</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DE01-BCF9-482C-A2BA-3C780A1B3249}">
  <sheetPr>
    <tabColor theme="4"/>
  </sheetPr>
  <dimension ref="A1:AO435"/>
  <sheetViews>
    <sheetView topLeftCell="D1" zoomScale="70" zoomScaleNormal="70" workbookViewId="0">
      <selection activeCell="D1" sqref="D1"/>
    </sheetView>
  </sheetViews>
  <sheetFormatPr defaultColWidth="8.69921875" defaultRowHeight="16.8" x14ac:dyDescent="0.4"/>
  <cols>
    <col min="1" max="1" width="7.59765625" style="27" hidden="1" customWidth="1"/>
    <col min="2" max="3" width="7.59765625" style="26" hidden="1" customWidth="1"/>
    <col min="4" max="4" width="3.19921875" style="20" customWidth="1"/>
    <col min="5" max="5" width="34.3984375" style="21" customWidth="1"/>
    <col min="6" max="6" width="16.19921875" style="21" customWidth="1"/>
    <col min="7" max="7" width="12.69921875" style="21" customWidth="1"/>
    <col min="8" max="8" width="16.19921875" style="21" customWidth="1"/>
    <col min="9" max="9" width="12.69921875" style="21" customWidth="1"/>
    <col min="10" max="10" width="16.19921875" style="21" customWidth="1"/>
    <col min="11" max="11" width="12.69921875" style="21" customWidth="1"/>
    <col min="12" max="12" width="4.8984375" style="21" customWidth="1"/>
    <col min="13" max="13" width="40.59765625" style="21" customWidth="1"/>
    <col min="14" max="15" width="24.69921875" style="21" customWidth="1"/>
    <col min="16" max="17" width="16.09765625" style="21" customWidth="1"/>
    <col min="18" max="18" width="8.69921875" style="21"/>
    <col min="19" max="19" width="8.59765625" style="21" customWidth="1"/>
    <col min="20" max="20" width="8.69921875" style="21"/>
    <col min="21" max="21" width="39.09765625" style="21" customWidth="1"/>
    <col min="22" max="22" width="19.3984375" style="178" customWidth="1"/>
    <col min="23" max="23" width="12.5" style="21" customWidth="1"/>
    <col min="24" max="24" width="19.3984375" style="178" customWidth="1"/>
    <col min="25" max="25" width="12.5" style="21" customWidth="1"/>
    <col min="26" max="26" width="19.3984375" style="178" customWidth="1"/>
    <col min="27" max="27" width="12.5" style="21" customWidth="1"/>
    <col min="28" max="28" width="4.8984375" style="21" customWidth="1"/>
    <col min="29" max="29" width="39.8984375" style="21" customWidth="1"/>
    <col min="30" max="30" width="24.69921875" style="178" customWidth="1"/>
    <col min="31" max="31" width="24.69921875" style="21" customWidth="1"/>
    <col min="32" max="32" width="22.69921875" style="21" customWidth="1"/>
    <col min="33" max="33" width="12" style="21" customWidth="1"/>
    <col min="34" max="16384" width="8.69921875" style="21"/>
  </cols>
  <sheetData>
    <row r="1" spans="1:33" s="190" customFormat="1" ht="45.75" customHeight="1" x14ac:dyDescent="0.85">
      <c r="A1" s="787">
        <v>2025</v>
      </c>
      <c r="B1" s="788">
        <v>1990</v>
      </c>
      <c r="C1" s="641"/>
      <c r="D1" s="189"/>
      <c r="E1" s="669" t="s">
        <v>332</v>
      </c>
      <c r="F1" s="189"/>
      <c r="G1" s="189"/>
      <c r="H1" s="189"/>
      <c r="I1" s="189"/>
      <c r="J1" s="189"/>
      <c r="K1" s="189"/>
      <c r="L1" s="189"/>
      <c r="M1" s="189"/>
      <c r="N1" s="189"/>
      <c r="O1" s="189"/>
      <c r="P1" s="189"/>
      <c r="Q1" s="189"/>
      <c r="R1" s="189"/>
      <c r="S1" s="191"/>
      <c r="T1" s="189"/>
      <c r="U1" s="670" t="s">
        <v>140</v>
      </c>
      <c r="V1" s="192"/>
      <c r="W1" s="189"/>
      <c r="X1" s="192"/>
      <c r="Y1" s="189"/>
      <c r="Z1" s="192"/>
      <c r="AA1" s="189"/>
      <c r="AB1" s="189"/>
      <c r="AC1" s="189"/>
      <c r="AD1" s="193"/>
    </row>
    <row r="2" spans="1:33" s="198" customFormat="1" ht="37.5" customHeight="1" x14ac:dyDescent="0.35">
      <c r="A2" s="788"/>
      <c r="B2" s="788">
        <v>2005</v>
      </c>
      <c r="C2" s="633"/>
      <c r="D2" s="194"/>
      <c r="E2" s="194"/>
      <c r="F2" s="194"/>
      <c r="G2" s="194"/>
      <c r="H2" s="194"/>
      <c r="I2" s="194"/>
      <c r="J2" s="194"/>
      <c r="K2" s="194"/>
      <c r="L2" s="194"/>
      <c r="M2" s="194"/>
      <c r="N2" s="194"/>
      <c r="O2" s="194"/>
      <c r="P2" s="194"/>
      <c r="Q2" s="194"/>
      <c r="R2" s="194"/>
      <c r="S2" s="195"/>
      <c r="T2" s="194"/>
      <c r="U2" s="194"/>
      <c r="V2" s="196"/>
      <c r="W2" s="194"/>
      <c r="X2" s="196"/>
      <c r="Y2" s="194"/>
      <c r="Z2" s="196"/>
      <c r="AA2" s="194"/>
      <c r="AB2" s="194"/>
      <c r="AC2" s="194"/>
      <c r="AD2" s="197"/>
    </row>
    <row r="3" spans="1:33" x14ac:dyDescent="0.4">
      <c r="A3" s="788"/>
      <c r="B3" s="788">
        <f>$A$1-1</f>
        <v>2024</v>
      </c>
      <c r="C3" s="633"/>
      <c r="S3" s="103"/>
    </row>
    <row r="4" spans="1:33" x14ac:dyDescent="0.4">
      <c r="A4" s="788"/>
      <c r="B4" s="788">
        <v>2030</v>
      </c>
      <c r="C4" s="633"/>
      <c r="S4" s="103"/>
    </row>
    <row r="5" spans="1:33" ht="40.200000000000003" customHeight="1" x14ac:dyDescent="0.4">
      <c r="A5" s="788"/>
      <c r="B5" s="789">
        <v>2055</v>
      </c>
      <c r="C5" s="646"/>
      <c r="E5" s="1339" t="str">
        <f>"STAÐAN ÁRIÐ "&amp;$A$1</f>
        <v>STAÐAN ÁRIÐ 2025</v>
      </c>
      <c r="F5" s="1344"/>
      <c r="G5" s="1344"/>
      <c r="H5" s="1344"/>
      <c r="I5" s="1344"/>
      <c r="J5" s="1344"/>
      <c r="K5" s="1348"/>
      <c r="M5" s="1339" t="s">
        <v>466</v>
      </c>
      <c r="N5" s="1343" t="s">
        <v>339</v>
      </c>
      <c r="O5" s="1344"/>
      <c r="P5" s="1324"/>
      <c r="Q5" s="1324"/>
      <c r="S5" s="103"/>
      <c r="U5" s="1339" t="str">
        <f>$A$1&amp;" EMISSIONS"</f>
        <v>2025 EMISSIONS</v>
      </c>
      <c r="V5" s="1344"/>
      <c r="W5" s="1344"/>
      <c r="X5" s="1344"/>
      <c r="Y5" s="1344"/>
      <c r="Z5" s="1344"/>
      <c r="AA5" s="1348"/>
      <c r="AC5" s="1339" t="s">
        <v>334</v>
      </c>
      <c r="AD5" s="1343" t="s">
        <v>337</v>
      </c>
      <c r="AE5" s="1344"/>
      <c r="AF5" s="1324"/>
      <c r="AG5" s="1324"/>
    </row>
    <row r="6" spans="1:33" ht="16.95" customHeight="1" x14ac:dyDescent="0.4">
      <c r="A6" s="634"/>
      <c r="B6" s="634"/>
      <c r="C6" s="633"/>
      <c r="E6" s="1339"/>
      <c r="F6" s="1341" t="str">
        <f>"Losun "&amp;$A$1</f>
        <v>Losun 2025</v>
      </c>
      <c r="G6" s="1342"/>
      <c r="H6" s="1345" t="str">
        <f>"Breyting frá "&amp;$B$3</f>
        <v>Breyting frá 2024</v>
      </c>
      <c r="I6" s="1342"/>
      <c r="J6" s="1345" t="str">
        <f>"Breyting frá "&amp;$B$2</f>
        <v>Breyting frá 2005</v>
      </c>
      <c r="K6" s="1349"/>
      <c r="M6" s="1339"/>
      <c r="N6" s="1346" t="str">
        <f>'Talnagögn | Numerical Data'!$E$14</f>
        <v>Losunarspá: Sviðsmynd byggð á aðgerðum stjórnvalda</v>
      </c>
      <c r="O6" s="1347"/>
      <c r="P6" s="1325"/>
      <c r="Q6" s="1325"/>
      <c r="R6" s="242"/>
      <c r="S6" s="243"/>
      <c r="U6" s="1339"/>
      <c r="V6" s="1341" t="str">
        <f>"Emissions in "&amp;$A$1</f>
        <v>Emissions in 2025</v>
      </c>
      <c r="W6" s="1342"/>
      <c r="X6" s="1345" t="str">
        <f>"Change from "&amp;$B$3</f>
        <v>Change from 2024</v>
      </c>
      <c r="Y6" s="1342"/>
      <c r="Z6" s="1345" t="str">
        <f>"Change from "&amp;$B$2</f>
        <v>Change from 2005</v>
      </c>
      <c r="AA6" s="1349"/>
      <c r="AC6" s="1339"/>
      <c r="AD6" s="1346" t="str">
        <f>'Talnagögn | Numerical Data'!$G$14</f>
        <v>Emission Projections: Government Policy-Based Scenario</v>
      </c>
      <c r="AE6" s="1347"/>
      <c r="AF6" s="1325"/>
      <c r="AG6" s="1325"/>
    </row>
    <row r="7" spans="1:33" ht="30" customHeight="1" thickBot="1" x14ac:dyDescent="0.45">
      <c r="A7" s="614"/>
      <c r="B7" s="50"/>
      <c r="C7" s="634"/>
      <c r="E7" s="1340"/>
      <c r="F7" s="238" t="s">
        <v>333</v>
      </c>
      <c r="G7" s="239" t="s">
        <v>4</v>
      </c>
      <c r="H7" s="238" t="str">
        <f>$F$7</f>
        <v>Þús. tonn CO₂-íg.</v>
      </c>
      <c r="I7" s="239" t="s">
        <v>4</v>
      </c>
      <c r="J7" s="238" t="str">
        <f>$F$7</f>
        <v>Þús. tonn CO₂-íg.</v>
      </c>
      <c r="K7" s="240" t="s">
        <v>4</v>
      </c>
      <c r="M7" s="1340"/>
      <c r="N7" s="241" t="str">
        <f>$F$7</f>
        <v>Þús. tonn CO₂-íg.</v>
      </c>
      <c r="O7" s="238" t="s">
        <v>4</v>
      </c>
      <c r="P7" s="712"/>
      <c r="Q7" s="712"/>
      <c r="R7" s="104"/>
      <c r="S7" s="106"/>
      <c r="U7" s="1340"/>
      <c r="V7" s="312" t="s">
        <v>338</v>
      </c>
      <c r="W7" s="239" t="s">
        <v>4</v>
      </c>
      <c r="X7" s="238" t="str">
        <f>$V$7</f>
        <v>Thousand tons CO₂e</v>
      </c>
      <c r="Y7" s="239" t="s">
        <v>4</v>
      </c>
      <c r="Z7" s="238" t="str">
        <f>$V$7</f>
        <v>Thousand tons CO₂e</v>
      </c>
      <c r="AA7" s="240" t="s">
        <v>4</v>
      </c>
      <c r="AC7" s="1340"/>
      <c r="AD7" s="241" t="str">
        <f>$V$7</f>
        <v>Thousand tons CO₂e</v>
      </c>
      <c r="AE7" s="238" t="s">
        <v>4</v>
      </c>
      <c r="AF7" s="712"/>
      <c r="AG7" s="712"/>
    </row>
    <row r="8" spans="1:33" s="5" customFormat="1" ht="17.399999999999999" thickTop="1" x14ac:dyDescent="0.4">
      <c r="A8" s="88" t="s">
        <v>305</v>
      </c>
      <c r="B8" s="88" t="s">
        <v>303</v>
      </c>
      <c r="C8" s="50" t="s">
        <v>44</v>
      </c>
      <c r="D8" s="107" t="s">
        <v>44</v>
      </c>
      <c r="E8" s="213" t="s">
        <v>114</v>
      </c>
      <c r="F8" s="199"/>
      <c r="G8" s="222"/>
      <c r="H8" s="207"/>
      <c r="I8" s="222"/>
      <c r="J8" s="207"/>
      <c r="K8" s="204"/>
      <c r="L8" s="21"/>
      <c r="M8" s="213" t="s">
        <v>114</v>
      </c>
      <c r="N8" s="201"/>
      <c r="O8" s="677"/>
      <c r="P8" s="708"/>
      <c r="Q8" s="713"/>
      <c r="R8" s="109"/>
      <c r="S8" s="110"/>
      <c r="T8" s="111"/>
      <c r="U8" s="213" t="s">
        <v>141</v>
      </c>
      <c r="V8" s="199"/>
      <c r="W8" s="222"/>
      <c r="X8" s="207"/>
      <c r="Y8" s="222"/>
      <c r="Z8" s="207"/>
      <c r="AA8" s="204"/>
      <c r="AB8" s="21"/>
      <c r="AC8" s="213" t="s">
        <v>141</v>
      </c>
      <c r="AD8" s="201"/>
      <c r="AE8" s="677"/>
      <c r="AF8" s="708"/>
      <c r="AG8" s="713"/>
    </row>
    <row r="9" spans="1:33" s="5" customFormat="1" x14ac:dyDescent="0.4">
      <c r="A9" s="635" t="s">
        <v>83</v>
      </c>
      <c r="B9" s="635"/>
      <c r="C9" s="88" t="s">
        <v>306</v>
      </c>
      <c r="D9" s="107" t="s">
        <v>44</v>
      </c>
      <c r="E9" s="214" t="s">
        <v>357</v>
      </c>
      <c r="F9" s="201" cm="1">
        <f t="array" ref="F9">INDEX('Talnagögn | Numerical Data'!$1:$1048576, _xlfn.XMATCH($A8,'Talnagögn | Numerical Data'!$C:$C), _xlfn.XMATCH($A$1,'Talnagögn | Numerical Data'!$1:$1))</f>
        <v>2793.7564234823058</v>
      </c>
      <c r="G9" s="223">
        <f>F9/$F$14</f>
        <v>0.26431607623391329</v>
      </c>
      <c r="H9" s="202" cm="1">
        <f t="array" ref="H9">INDEX('Talnagögn | Numerical Data'!$1:$1048576, _xlfn.XMATCH($A8,'Talnagögn | Numerical Data'!$C:$C), _xlfn.XMATCH($A$1,'Talnagögn | Numerical Data'!$1:$1))-INDEX('Talnagögn | Numerical Data'!$1:$1048576, _xlfn.XMATCH($A8,'Talnagögn | Numerical Data'!$C:$C), _xlfn.XMATCH($B$3,'Talnagögn | Numerical Data'!$1:$1))</f>
        <v>-78.839914502908869</v>
      </c>
      <c r="I9" s="228" cm="1">
        <f t="array" ref="I9">INDEX('Talnagögn | Numerical Data'!$1:$1048576, _xlfn.XMATCH($A8,'Talnagögn | Numerical Data'!$C:$C), _xlfn.XMATCH($A$1,'Talnagögn | Numerical Data'!$1:$1))/INDEX('Talnagögn | Numerical Data'!$1:$1048576, _xlfn.XMATCH($A8,'Talnagögn | Numerical Data'!$C:$C), _xlfn.XMATCH($B$3,'Talnagögn | Numerical Data'!$1:$1))-1</f>
        <v>-2.7445524963039425E-2</v>
      </c>
      <c r="J9" s="202" cm="1">
        <f t="array" ref="J9">INDEX('Talnagögn | Numerical Data'!$1:$1048576, _xlfn.XMATCH($A8,'Talnagögn | Numerical Data'!$C:$C), _xlfn.XMATCH($A$1,'Talnagögn | Numerical Data'!$1:$1))-INDEX('Talnagögn | Numerical Data'!$1:$1048576, _xlfn.XMATCH($A8,'Talnagögn | Numerical Data'!$C:$C), _xlfn.XMATCH($B$2,'Talnagögn | Numerical Data'!$1:$1))</f>
        <v>-434.84016366043079</v>
      </c>
      <c r="K9" s="205" cm="1">
        <f t="array" ref="K9">INDEX('Talnagögn | Numerical Data'!$1:$1048576, _xlfn.XMATCH($A8,'Talnagögn | Numerical Data'!$C:$C), _xlfn.XMATCH($A$1,'Talnagögn | Numerical Data'!$1:$1))/INDEX('Talnagögn | Numerical Data'!$1:$1048576, _xlfn.XMATCH($A8,'Talnagögn | Numerical Data'!$C:$C), _xlfn.XMATCH($B$2,'Talnagögn | Numerical Data'!$1:$1))-1</f>
        <v>-0.13468395692174673</v>
      </c>
      <c r="L9" s="21"/>
      <c r="M9" s="214" t="s">
        <v>357</v>
      </c>
      <c r="N9" s="202" cm="1">
        <f t="array" ref="N9">INDEX('Talnagögn | Numerical Data'!$1:$1048576, _xlfn.XMATCH($B8,'Talnagögn | Numerical Data'!$C:$C), _xlfn.XMATCH($B$4,'Talnagögn | Numerical Data'!$1:$1))-INDEX('Talnagögn | Numerical Data'!$1:$1048576, _xlfn.XMATCH($A8,'Talnagögn | Numerical Data'!$C:$C), _xlfn.XMATCH($B$2,'Talnagögn | Numerical Data'!$1:$1))</f>
        <v>-766.94915275307403</v>
      </c>
      <c r="O9" s="200" cm="1">
        <f t="array" ref="O9">INDEX('Talnagögn | Numerical Data'!$1:$1048576, _xlfn.XMATCH($B8,'Talnagögn | Numerical Data'!$C:$C), _xlfn.XMATCH($B$4,'Talnagögn | Numerical Data'!$1:$1))/INDEX('Talnagögn | Numerical Data'!$1:$1048576, _xlfn.XMATCH($A8,'Talnagögn | Numerical Data'!$C:$C), _xlfn.XMATCH($B$2,'Talnagögn | Numerical Data'!$1:$1))-1</f>
        <v>-0.23754877144060094</v>
      </c>
      <c r="P9" s="709"/>
      <c r="Q9" s="714"/>
      <c r="R9" s="109"/>
      <c r="S9" s="110"/>
      <c r="T9" s="111"/>
      <c r="U9" s="214" t="s">
        <v>142</v>
      </c>
      <c r="V9" s="201" cm="1">
        <f t="array" ref="V9">INDEX('Talnagögn | Numerical Data'!$1:$1048576, _xlfn.XMATCH($A8,'Talnagögn | Numerical Data'!$C:$C), _xlfn.XMATCH($A$1,'Talnagögn | Numerical Data'!$1:$1))</f>
        <v>2793.7564234823058</v>
      </c>
      <c r="W9" s="223">
        <f>V9/$F$14</f>
        <v>0.26431607623391329</v>
      </c>
      <c r="X9" s="202" cm="1">
        <f t="array" ref="X9">INDEX('Talnagögn | Numerical Data'!$1:$1048576, _xlfn.XMATCH($A8,'Talnagögn | Numerical Data'!$C:$C), _xlfn.XMATCH($A$1,'Talnagögn | Numerical Data'!$1:$1))-INDEX('Talnagögn | Numerical Data'!$1:$1048576, _xlfn.XMATCH($A8,'Talnagögn | Numerical Data'!$C:$C), _xlfn.XMATCH($B$3,'Talnagögn | Numerical Data'!$1:$1))</f>
        <v>-78.839914502908869</v>
      </c>
      <c r="Y9" s="228" cm="1">
        <f t="array" ref="Y9">INDEX('Talnagögn | Numerical Data'!$1:$1048576, _xlfn.XMATCH($A8,'Talnagögn | Numerical Data'!$C:$C), _xlfn.XMATCH($A$1,'Talnagögn | Numerical Data'!$1:$1))/INDEX('Talnagögn | Numerical Data'!$1:$1048576, _xlfn.XMATCH($A8,'Talnagögn | Numerical Data'!$C:$C), _xlfn.XMATCH($B$3,'Talnagögn | Numerical Data'!$1:$1))-1</f>
        <v>-2.7445524963039425E-2</v>
      </c>
      <c r="Z9" s="202" cm="1">
        <f t="array" ref="Z9">INDEX('Talnagögn | Numerical Data'!$1:$1048576, _xlfn.XMATCH($A8,'Talnagögn | Numerical Data'!$C:$C), _xlfn.XMATCH($A$1,'Talnagögn | Numerical Data'!$1:$1))-INDEX('Talnagögn | Numerical Data'!$1:$1048576, _xlfn.XMATCH($A8,'Talnagögn | Numerical Data'!$C:$C), _xlfn.XMATCH($B$2,'Talnagögn | Numerical Data'!$1:$1))</f>
        <v>-434.84016366043079</v>
      </c>
      <c r="AA9" s="205" cm="1">
        <f t="array" ref="AA9">INDEX('Talnagögn | Numerical Data'!$1:$1048576, _xlfn.XMATCH($A8,'Talnagögn | Numerical Data'!$C:$C), _xlfn.XMATCH($A$1,'Talnagögn | Numerical Data'!$1:$1))/INDEX('Talnagögn | Numerical Data'!$1:$1048576, _xlfn.XMATCH($A8,'Talnagögn | Numerical Data'!$C:$C), _xlfn.XMATCH($B$2,'Talnagögn | Numerical Data'!$1:$1))-1</f>
        <v>-0.13468395692174673</v>
      </c>
      <c r="AB9" s="21"/>
      <c r="AC9" s="214" t="s">
        <v>142</v>
      </c>
      <c r="AD9" s="202" cm="1">
        <f t="array" ref="AD9">INDEX('Talnagögn | Numerical Data'!$1:$1048576, _xlfn.XMATCH($B8,'Talnagögn | Numerical Data'!$C:$C), _xlfn.XMATCH($B$4,'Talnagögn | Numerical Data'!$1:$1))-INDEX('Talnagögn | Numerical Data'!$1:$1048576, _xlfn.XMATCH($A8,'Talnagögn | Numerical Data'!$C:$C), _xlfn.XMATCH($B$2,'Talnagögn | Numerical Data'!$1:$1))</f>
        <v>-766.94915275307403</v>
      </c>
      <c r="AE9" s="200" cm="1">
        <f t="array" ref="AE9">INDEX('Talnagögn | Numerical Data'!$1:$1048576, _xlfn.XMATCH($B8,'Talnagögn | Numerical Data'!$C:$C), _xlfn.XMATCH($B$4,'Talnagögn | Numerical Data'!$1:$1))/INDEX('Talnagögn | Numerical Data'!$1:$1048576, _xlfn.XMATCH($A8,'Talnagögn | Numerical Data'!$C:$C), _xlfn.XMATCH($B$2,'Talnagögn | Numerical Data'!$1:$1))-1</f>
        <v>-0.23754877144060094</v>
      </c>
      <c r="AF9" s="709"/>
      <c r="AG9" s="714"/>
    </row>
    <row r="10" spans="1:33" s="137" customFormat="1" ht="20.399999999999999" customHeight="1" thickBot="1" x14ac:dyDescent="0.45">
      <c r="A10" s="88" t="s">
        <v>309</v>
      </c>
      <c r="B10" s="88" t="s">
        <v>313</v>
      </c>
      <c r="C10" s="635"/>
      <c r="D10" s="244" t="s">
        <v>44</v>
      </c>
      <c r="E10" s="245" t="s">
        <v>331</v>
      </c>
      <c r="F10" s="246" t="s">
        <v>184</v>
      </c>
      <c r="G10" s="247" t="s">
        <v>184</v>
      </c>
      <c r="H10" s="246" t="s">
        <v>184</v>
      </c>
      <c r="I10" s="247" t="s">
        <v>184</v>
      </c>
      <c r="J10" s="246" cm="1">
        <f t="array" ref="J10">INDEX('Talnagögn | Numerical Data'!$1:$1048576, _xlfn.XMATCH($A8,'Talnagögn | Numerical Data'!$C:$C), _xlfn.XMATCH($A$1,'Talnagögn | Numerical Data'!$1:$1))-INDEX('Talnagögn | Numerical Data'!$1:$1048576, _xlfn.XMATCH($A9,'Talnagögn | Numerical Data'!$C:$C), _xlfn.XMATCH($B$2,'Talnagögn | Numerical Data'!$1:$1))</f>
        <v>-315.57257651769442</v>
      </c>
      <c r="K10" s="932" cm="1">
        <f t="array" ref="K10">INDEX('Talnagögn | Numerical Data'!$1:$1048576, _xlfn.XMATCH($A8,'Talnagögn | Numerical Data'!$C:$C), _xlfn.XMATCH($A$1,'Talnagögn | Numerical Data'!$1:$1))/INDEX('Talnagögn | Numerical Data'!$1:$1048576, _xlfn.XMATCH($A9,'Talnagögn | Numerical Data'!$C:$C), _xlfn.XMATCH($B$2,'Talnagögn | Numerical Data'!$1:$1))-1</f>
        <v>-0.10149217934727861</v>
      </c>
      <c r="M10" s="245" t="s">
        <v>331</v>
      </c>
      <c r="N10" s="248" cm="1">
        <f t="array" ref="N10">INDEX('Talnagögn | Numerical Data'!$1:$1048576, _xlfn.XMATCH($B8,'Talnagögn | Numerical Data'!$C:$C), _xlfn.XMATCH($B$4,'Talnagögn | Numerical Data'!$1:$1))-INDEX('Talnagögn | Numerical Data'!$1:$1048576, _xlfn.XMATCH($A9,'Talnagögn | Numerical Data'!$B:$B), _xlfn.XMATCH($B$2,'Talnagögn | Numerical Data'!$1:$1))</f>
        <v>-647.68156561033766</v>
      </c>
      <c r="O10" s="249" cm="1">
        <f t="array" ref="O10">INDEX('Talnagögn | Numerical Data'!$1:$1048576, _xlfn.XMATCH($B8,'Talnagögn | Numerical Data'!$C:$C), _xlfn.XMATCH($B$4,'Talnagögn | Numerical Data'!$1:$1))/INDEX('Talnagögn | Numerical Data'!$1:$1048576, _xlfn.XMATCH($A9,'Talnagögn | Numerical Data'!$C:$C), _xlfn.XMATCH($B$2,'Talnagögn | Numerical Data'!$1:$1))-1</f>
        <v>-0.20830268061383583</v>
      </c>
      <c r="P10" s="710"/>
      <c r="Q10" s="715"/>
      <c r="R10" s="250"/>
      <c r="S10" s="251"/>
      <c r="T10" s="252"/>
      <c r="U10" s="245" t="s">
        <v>143</v>
      </c>
      <c r="V10" s="246" t="s">
        <v>184</v>
      </c>
      <c r="W10" s="247" t="s">
        <v>184</v>
      </c>
      <c r="X10" s="246" t="s">
        <v>184</v>
      </c>
      <c r="Y10" s="247" t="s">
        <v>184</v>
      </c>
      <c r="Z10" s="246" cm="1">
        <f t="array" ref="Z10">INDEX('Talnagögn | Numerical Data'!$1:$1048576, _xlfn.XMATCH($A8,'Talnagögn | Numerical Data'!$C:$C), _xlfn.XMATCH($A$1,'Talnagögn | Numerical Data'!$1:$1))-INDEX('Talnagögn | Numerical Data'!$1:$1048576, _xlfn.XMATCH($A9,'Talnagögn | Numerical Data'!$C:$C), _xlfn.XMATCH($B$2,'Talnagögn | Numerical Data'!$1:$1))</f>
        <v>-315.57257651769442</v>
      </c>
      <c r="AA10" s="934" cm="1">
        <f t="array" ref="AA10">INDEX('Talnagögn | Numerical Data'!$1:$1048576, _xlfn.XMATCH($A8,'Talnagögn | Numerical Data'!$C:$C), _xlfn.XMATCH($A$1,'Talnagögn | Numerical Data'!$1:$1))/INDEX('Talnagögn | Numerical Data'!$1:$1048576, _xlfn.XMATCH($A9,'Talnagögn | Numerical Data'!$C:$C), _xlfn.XMATCH($B$2,'Talnagögn | Numerical Data'!$1:$1))-1</f>
        <v>-0.10149217934727861</v>
      </c>
      <c r="AC10" s="245" t="s">
        <v>143</v>
      </c>
      <c r="AD10" s="248" cm="1">
        <f t="array" ref="AD10">INDEX('Talnagögn | Numerical Data'!$1:$1048576, _xlfn.XMATCH($B8,'Talnagögn | Numerical Data'!$C:$C), _xlfn.XMATCH($B$4,'Talnagögn | Numerical Data'!$1:$1))-INDEX('Talnagögn | Numerical Data'!$1:$1048576, _xlfn.XMATCH($A9,'Talnagögn | Numerical Data'!$B:$B), _xlfn.XMATCH($B$2,'Talnagögn | Numerical Data'!$1:$1))</f>
        <v>-647.68156561033766</v>
      </c>
      <c r="AE10" s="249" cm="1">
        <f t="array" ref="AE10">INDEX('Talnagögn | Numerical Data'!$1:$1048576, _xlfn.XMATCH($B8,'Talnagögn | Numerical Data'!$C:$C), _xlfn.XMATCH($B$4,'Talnagögn | Numerical Data'!$1:$1))/INDEX('Talnagögn | Numerical Data'!$1:$1048576, _xlfn.XMATCH($A9,'Talnagögn | Numerical Data'!$C:$C), _xlfn.XMATCH($B$2,'Talnagögn | Numerical Data'!$1:$1))-1</f>
        <v>-0.20830268061383583</v>
      </c>
      <c r="AF10" s="710"/>
      <c r="AG10" s="715"/>
    </row>
    <row r="11" spans="1:33" s="5" customFormat="1" ht="24" customHeight="1" thickTop="1" thickBot="1" x14ac:dyDescent="0.45">
      <c r="A11" s="88" t="s">
        <v>307</v>
      </c>
      <c r="B11" s="88" t="s">
        <v>311</v>
      </c>
      <c r="C11" s="88" t="s">
        <v>44</v>
      </c>
      <c r="D11" s="107" t="s">
        <v>44</v>
      </c>
      <c r="E11" s="215" t="s">
        <v>205</v>
      </c>
      <c r="F11" s="212" cm="1">
        <f t="array" ref="F11">INDEX('Talnagögn | Numerical Data'!$1:$1048576, _xlfn.XMATCH($A10,'Talnagögn | Numerical Data'!$C:$C), _xlfn.XMATCH($A$1,'Talnagögn | Numerical Data'!1:1))</f>
        <v>6080.3410384327608</v>
      </c>
      <c r="G11" s="224">
        <f>F11/$F$14</f>
        <v>0.57525841262831334</v>
      </c>
      <c r="H11" s="929" cm="1">
        <f t="array" ref="H11">INDEX('Talnagögn | Numerical Data'!$1:$1048576, _xlfn.XMATCH($A$10,'Talnagögn | Numerical Data'!$C:$C), _xlfn.XMATCH($A$1,'Talnagögn | Numerical Data'!$1:$1))-INDEX('Talnagögn | Numerical Data'!$1:$1048576, _xlfn.XMATCH($A$10,'Talnagögn | Numerical Data'!$C:$C), _xlfn.XMATCH($B$3,'Talnagögn | Numerical Data'!$1:$1))</f>
        <v>-135.57528168190584</v>
      </c>
      <c r="I11" s="930" cm="1">
        <f t="array" ref="I11">INDEX('Talnagögn | Numerical Data'!$1:$1048576, _xlfn.XMATCH($A$10,'Talnagögn | Numerical Data'!$C:$C), _xlfn.XMATCH($A$1,'Talnagögn | Numerical Data'!$1:$1))/INDEX('Talnagögn | Numerical Data'!$1:$1048576, _xlfn.XMATCH($A$10,'Talnagögn | Numerical Data'!$C:$C), _xlfn.XMATCH($B$3,'Talnagögn | Numerical Data'!$1:$1))-1</f>
        <v>-2.1810988871131531E-2</v>
      </c>
      <c r="J11" s="212" cm="1">
        <f t="array" ref="J11">INDEX('Talnagögn | Numerical Data'!$1:$1048576, _xlfn.XMATCH($A$10,'Talnagögn | Numerical Data'!$C:$C), _xlfn.XMATCH($A$1,'Talnagögn | Numerical Data'!$1:$1))-INDEX('Talnagögn | Numerical Data'!$1:$1048576, _xlfn.XMATCH($A$10,'Talnagögn | Numerical Data'!$C:$C), _xlfn.XMATCH($B$2,'Talnagögn | Numerical Data'!$1:$1))</f>
        <v>-568.72412297566552</v>
      </c>
      <c r="K11" s="931" cm="1">
        <f t="array" ref="K11">INDEX('Talnagögn | Numerical Data'!$1:$1048576, _xlfn.XMATCH($A$10,'Talnagögn | Numerical Data'!$C:$C), _xlfn.XMATCH($A$1,'Talnagögn | Numerical Data'!$1:$1))/INDEX('Talnagögn | Numerical Data'!$1:$1048576, _xlfn.XMATCH($A$10,'Talnagögn | Numerical Data'!$C:$C), _xlfn.XMATCH($B$2,'Talnagögn | Numerical Data'!$1:$1))-1</f>
        <v>-8.5534448703642463E-2</v>
      </c>
      <c r="L11" s="21"/>
      <c r="M11" s="215" t="s">
        <v>205</v>
      </c>
      <c r="N11" s="212" cm="1">
        <f t="array" ref="N11">INDEX('Talnagögn | Numerical Data'!$1:$1048576, _xlfn.XMATCH($B10,'Talnagögn | Numerical Data'!$C:$C), _xlfn.XMATCH($B$4,'Talnagögn | Numerical Data'!$1:$1))-INDEX('Talnagögn | Numerical Data'!$1:$1048576, _xlfn.XMATCH($A10,'Talnagögn | Numerical Data'!$C:$C), _xlfn.XMATCH($B$2,'Talnagögn | Numerical Data'!$1:$1))</f>
        <v>-1129.7228351973372</v>
      </c>
      <c r="O11" s="933" cm="1">
        <f t="array" ref="O11">INDEX('Talnagögn | Numerical Data'!$1:$1048576, _xlfn.XMATCH($B10,'Talnagögn | Numerical Data'!$C:$C), _xlfn.XMATCH($B$4,'Talnagögn | Numerical Data'!$1:$1))/INDEX('Talnagögn | Numerical Data'!$1:$1048576, _xlfn.XMATCH($A10,'Talnagögn | Numerical Data'!$C:$C), _xlfn.XMATCH($B$2,'Talnagögn | Numerical Data'!$1:$1))-1</f>
        <v>-0.16990701817066201</v>
      </c>
      <c r="P11" s="708"/>
      <c r="Q11" s="716"/>
      <c r="R11" s="109"/>
      <c r="S11" s="110"/>
      <c r="T11" s="111"/>
      <c r="U11" s="395" t="s">
        <v>116</v>
      </c>
      <c r="V11" s="212" cm="1">
        <f t="array" ref="V11">INDEX('Talnagögn | Numerical Data'!$1:$1048576, _xlfn.XMATCH($A10,'Talnagögn | Numerical Data'!$C:$C), _xlfn.XMATCH($A$1,'Talnagögn | Numerical Data'!1:1))</f>
        <v>6080.3410384327608</v>
      </c>
      <c r="W11" s="224">
        <f>V11/$F$14</f>
        <v>0.57525841262831334</v>
      </c>
      <c r="X11" s="935" cm="1">
        <f t="array" ref="X11">INDEX('Talnagögn | Numerical Data'!$1:$1048576, _xlfn.XMATCH($A$10,'Talnagögn | Numerical Data'!$C:$C), _xlfn.XMATCH($A$1,'Talnagögn | Numerical Data'!$1:$1))-INDEX('Talnagögn | Numerical Data'!$1:$1048576, _xlfn.XMATCH($A$10,'Talnagögn | Numerical Data'!$C:$C), _xlfn.XMATCH($B$3,'Talnagögn | Numerical Data'!$1:$1))</f>
        <v>-135.57528168190584</v>
      </c>
      <c r="Y11" s="936" cm="1">
        <f t="array" ref="Y11">INDEX('Talnagögn | Numerical Data'!$1:$1048576, _xlfn.XMATCH($A$10,'Talnagögn | Numerical Data'!$C:$C), _xlfn.XMATCH($A$1,'Talnagögn | Numerical Data'!$1:$1))/INDEX('Talnagögn | Numerical Data'!$1:$1048576, _xlfn.XMATCH($A$10,'Talnagögn | Numerical Data'!$C:$C), _xlfn.XMATCH($B$3,'Talnagögn | Numerical Data'!$1:$1))-1</f>
        <v>-2.1810988871131531E-2</v>
      </c>
      <c r="Z11" s="937" cm="1">
        <f t="array" ref="Z11">INDEX('Talnagögn | Numerical Data'!$1:$1048576, _xlfn.XMATCH($A$10,'Talnagögn | Numerical Data'!$C:$C), _xlfn.XMATCH($A$1,'Talnagögn | Numerical Data'!$1:$1))-INDEX('Talnagögn | Numerical Data'!$1:$1048576, _xlfn.XMATCH($A$10,'Talnagögn | Numerical Data'!$C:$C), _xlfn.XMATCH($B$2,'Talnagögn | Numerical Data'!$1:$1))</f>
        <v>-568.72412297566552</v>
      </c>
      <c r="AA11" s="938" cm="1">
        <f t="array" ref="AA11">INDEX('Talnagögn | Numerical Data'!$1:$1048576, _xlfn.XMATCH($A$10,'Talnagögn | Numerical Data'!$C:$C), _xlfn.XMATCH($A$1,'Talnagögn | Numerical Data'!$1:$1))/INDEX('Talnagögn | Numerical Data'!$1:$1048576, _xlfn.XMATCH($A$10,'Talnagögn | Numerical Data'!$C:$C), _xlfn.XMATCH($B$2,'Talnagögn | Numerical Data'!$1:$1))-1</f>
        <v>-8.5534448703642463E-2</v>
      </c>
      <c r="AB11" s="21"/>
      <c r="AC11" s="395" t="s">
        <v>116</v>
      </c>
      <c r="AD11" s="212" cm="1">
        <f t="array" ref="AD11">INDEX('Talnagögn | Numerical Data'!$1:$1048576, _xlfn.XMATCH($B10,'Talnagögn | Numerical Data'!$C:$C), _xlfn.XMATCH($B$4,'Talnagögn | Numerical Data'!$1:$1))-INDEX('Talnagögn | Numerical Data'!$1:$1048576, _xlfn.XMATCH($A10,'Talnagögn | Numerical Data'!$C:$C), _xlfn.XMATCH($B$2,'Talnagögn | Numerical Data'!$1:$1))</f>
        <v>-1129.7228351973372</v>
      </c>
      <c r="AE11" s="940" cm="1">
        <f t="array" ref="AE11">INDEX('Talnagögn | Numerical Data'!$1:$1048576, _xlfn.XMATCH($B10,'Talnagögn | Numerical Data'!$C:$C), _xlfn.XMATCH($B$4,'Talnagögn | Numerical Data'!$1:$1))/INDEX('Talnagögn | Numerical Data'!$1:$1048576, _xlfn.XMATCH($A10,'Talnagögn | Numerical Data'!$C:$C), _xlfn.XMATCH($B$2,'Talnagögn | Numerical Data'!$1:$1))-1</f>
        <v>-0.16990701817066201</v>
      </c>
      <c r="AF11" s="708"/>
      <c r="AG11" s="716"/>
    </row>
    <row r="12" spans="1:33" s="5" customFormat="1" ht="24" customHeight="1" thickTop="1" thickBot="1" x14ac:dyDescent="0.45">
      <c r="A12" s="88" t="s">
        <v>308</v>
      </c>
      <c r="B12" s="88" t="s">
        <v>312</v>
      </c>
      <c r="C12" s="88"/>
      <c r="D12" s="107" t="s">
        <v>44</v>
      </c>
      <c r="E12" s="807" t="s">
        <v>139</v>
      </c>
      <c r="F12" s="209" cm="1">
        <f t="array" ref="F12">INDEX('Talnagögn | Numerical Data'!$1:$1048576, _xlfn.XMATCH($A11,'Talnagögn | Numerical Data'!$C:$C), _xlfn.XMATCH($A$1,'Talnagögn | Numerical Data'!$1:$1))</f>
        <v>1676.5843667418656</v>
      </c>
      <c r="G12" s="225">
        <f>F12/$F$14</f>
        <v>0.15862091539818768</v>
      </c>
      <c r="H12" s="210" cm="1">
        <f t="array" ref="H12">INDEX('Talnagögn | Numerical Data'!$1:$1048576, _xlfn.XMATCH($A$11,'Talnagögn | Numerical Data'!$C:$C), _xlfn.XMATCH($A$1,'Talnagögn | Numerical Data'!$1:$1))-INDEX('Talnagögn | Numerical Data'!$1:$1048576, _xlfn.XMATCH($A$11,'Talnagögn | Numerical Data'!$C:$C), _xlfn.XMATCH($B$3,'Talnagögn | Numerical Data'!$1:$1))</f>
        <v>-212.56963325813444</v>
      </c>
      <c r="I12" s="225" cm="1">
        <f t="array" ref="I12">INDEX('Talnagögn | Numerical Data'!$1:$1048576, _xlfn.XMATCH($A$11,'Talnagögn | Numerical Data'!$C:$C), _xlfn.XMATCH($A$1,'Talnagögn | Numerical Data'!$1:$1))/INDEX('Talnagögn | Numerical Data'!$1:$1048576, _xlfn.XMATCH($A$11,'Talnagögn | Numerical Data'!$C:$C), _xlfn.XMATCH($B$3,'Talnagögn | Numerical Data'!$1:$1))-1</f>
        <v>-0.11252107200267125</v>
      </c>
      <c r="J12" s="209" cm="1">
        <f t="array" ref="J12">INDEX('Talnagögn | Numerical Data'!$1:$1048576, _xlfn.XMATCH($A$11,'Talnagögn | Numerical Data'!$C:$C), _xlfn.XMATCH($A$1,'Talnagögn | Numerical Data'!$1:$1))-INDEX('Talnagögn | Numerical Data'!$1:$1048576, _xlfn.XMATCH($A$11,'Talnagögn | Numerical Data'!$C:$C), _xlfn.XMATCH($B$2,'Talnagögn | Numerical Data'!$1:$1))</f>
        <v>823.70143564907835</v>
      </c>
      <c r="K12" s="211" cm="1">
        <f t="array" ref="K12">INDEX('Talnagögn | Numerical Data'!$1:$1048576, _xlfn.XMATCH($A$11,'Talnagögn | Numerical Data'!$C:$C), _xlfn.XMATCH($A$1,'Talnagögn | Numerical Data'!$1:$1))/INDEX('Talnagögn | Numerical Data'!$1:$1048576, _xlfn.XMATCH($A$11,'Talnagögn | Numerical Data'!$C:$C), _xlfn.XMATCH($B$2,'Talnagögn | Numerical Data'!$1:$1))-1</f>
        <v>0.96578487576680772</v>
      </c>
      <c r="L12" s="21"/>
      <c r="M12" s="807" t="s">
        <v>139</v>
      </c>
      <c r="N12" s="209" cm="1">
        <f t="array" ref="N12">INDEX('Talnagögn | Numerical Data'!$1:$1048576, _xlfn.XMATCH($B11,'Talnagögn | Numerical Data'!$C:$C), _xlfn.XMATCH($B$4,'Talnagögn | Numerical Data'!$1:$1))-INDEX('Talnagögn | Numerical Data'!$1:$1048576, _xlfn.XMATCH($A11,'Talnagögn | Numerical Data'!$C:$C), _xlfn.XMATCH($B$2,'Talnagögn | Numerical Data'!$1:$1))</f>
        <v>1060.832700582456</v>
      </c>
      <c r="O12" s="678" cm="1">
        <f t="array" ref="O12">INDEX('Talnagögn | Numerical Data'!$1:$1048576, _xlfn.XMATCH($B11,'Talnagögn | Numerical Data'!$C:$C), _xlfn.XMATCH($B$4,'Talnagögn | Numerical Data'!$1:$1))/INDEX('Talnagögn | Numerical Data'!$1:$1048576, _xlfn.XMATCH($A11,'Talnagögn | Numerical Data'!$C:$C), _xlfn.XMATCH($B$2,'Talnagögn | Numerical Data'!$1:$1))-1</f>
        <v>1.2438198279138093</v>
      </c>
      <c r="P12" s="708"/>
      <c r="Q12" s="714"/>
      <c r="R12" s="109"/>
      <c r="S12" s="110"/>
      <c r="T12" s="111"/>
      <c r="U12" s="807" t="s">
        <v>358</v>
      </c>
      <c r="V12" s="209" cm="1">
        <f t="array" ref="V12">INDEX('Talnagögn | Numerical Data'!$1:$1048576, _xlfn.XMATCH($A11,'Talnagögn | Numerical Data'!$C:$C), _xlfn.XMATCH($A$1,'Talnagögn | Numerical Data'!$1:$1))</f>
        <v>1676.5843667418656</v>
      </c>
      <c r="W12" s="225">
        <f>V12/$F$14</f>
        <v>0.15862091539818768</v>
      </c>
      <c r="X12" s="210" cm="1">
        <f t="array" ref="X12">INDEX('Talnagögn | Numerical Data'!$1:$1048576, _xlfn.XMATCH($A$11,'Talnagögn | Numerical Data'!$C:$C), _xlfn.XMATCH($A$1,'Talnagögn | Numerical Data'!$1:$1))-INDEX('Talnagögn | Numerical Data'!$1:$1048576, _xlfn.XMATCH($A$11,'Talnagögn | Numerical Data'!$C:$C), _xlfn.XMATCH($B$3,'Talnagögn | Numerical Data'!$1:$1))</f>
        <v>-212.56963325813444</v>
      </c>
      <c r="Y12" s="939" cm="1">
        <f t="array" ref="Y12">INDEX('Talnagögn | Numerical Data'!$1:$1048576, _xlfn.XMATCH($A$11,'Talnagögn | Numerical Data'!$C:$C), _xlfn.XMATCH($A$1,'Talnagögn | Numerical Data'!$1:$1))/INDEX('Talnagögn | Numerical Data'!$1:$1048576, _xlfn.XMATCH($A$11,'Talnagögn | Numerical Data'!$C:$C), _xlfn.XMATCH($B$3,'Talnagögn | Numerical Data'!$1:$1))-1</f>
        <v>-0.11252107200267125</v>
      </c>
      <c r="Z12" s="209" cm="1">
        <f t="array" ref="Z12">INDEX('Talnagögn | Numerical Data'!$1:$1048576, _xlfn.XMATCH($A$11,'Talnagögn | Numerical Data'!$C:$C), _xlfn.XMATCH($A$1,'Talnagögn | Numerical Data'!$1:$1))-INDEX('Talnagögn | Numerical Data'!$1:$1048576, _xlfn.XMATCH($A$11,'Talnagögn | Numerical Data'!$C:$C), _xlfn.XMATCH($B$2,'Talnagögn | Numerical Data'!$1:$1))</f>
        <v>823.70143564907835</v>
      </c>
      <c r="AA12" s="211" cm="1">
        <f t="array" ref="AA12">INDEX('Talnagögn | Numerical Data'!$1:$1048576, _xlfn.XMATCH($A$11,'Talnagögn | Numerical Data'!$C:$C), _xlfn.XMATCH($A$1,'Talnagögn | Numerical Data'!$1:$1))/INDEX('Talnagögn | Numerical Data'!$1:$1048576, _xlfn.XMATCH($A$11,'Talnagögn | Numerical Data'!$C:$C), _xlfn.XMATCH($B$2,'Talnagögn | Numerical Data'!$1:$1))-1</f>
        <v>0.96578487576680772</v>
      </c>
      <c r="AB12" s="21"/>
      <c r="AC12" s="807" t="s">
        <v>144</v>
      </c>
      <c r="AD12" s="209" cm="1">
        <f t="array" ref="AD12">INDEX('Talnagögn | Numerical Data'!$1:$1048576, _xlfn.XMATCH($B11,'Talnagögn | Numerical Data'!$C:$C), _xlfn.XMATCH($B$4,'Talnagögn | Numerical Data'!$1:$1))-INDEX('Talnagögn | Numerical Data'!$1:$1048576, _xlfn.XMATCH($A11,'Talnagögn | Numerical Data'!$C:$C), _xlfn.XMATCH($B$2,'Talnagögn | Numerical Data'!$1:$1))</f>
        <v>1060.832700582456</v>
      </c>
      <c r="AE12" s="678" cm="1">
        <f t="array" ref="AE12">INDEX('Talnagögn | Numerical Data'!$1:$1048576, _xlfn.XMATCH($B11,'Talnagögn | Numerical Data'!$C:$C), _xlfn.XMATCH($B$4,'Talnagögn | Numerical Data'!$1:$1))/INDEX('Talnagögn | Numerical Data'!$1:$1048576, _xlfn.XMATCH($A11,'Talnagögn | Numerical Data'!$C:$C), _xlfn.XMATCH($B$2,'Talnagögn | Numerical Data'!$1:$1))-1</f>
        <v>1.2438198279138093</v>
      </c>
      <c r="AF12" s="708"/>
      <c r="AG12" s="714"/>
    </row>
    <row r="13" spans="1:33" s="5" customFormat="1" ht="24" customHeight="1" thickTop="1" x14ac:dyDescent="0.4">
      <c r="A13" s="88" t="s">
        <v>310</v>
      </c>
      <c r="B13" s="88" t="s">
        <v>314</v>
      </c>
      <c r="C13" s="88" t="s">
        <v>318</v>
      </c>
      <c r="D13" s="107" t="s">
        <v>44</v>
      </c>
      <c r="E13" s="217" t="s">
        <v>304</v>
      </c>
      <c r="F13" s="218" cm="1">
        <f t="array" ref="F13">INDEX('Talnagögn | Numerical Data'!$1:$1048576, _xlfn.XMATCH($A12,'Talnagögn | Numerical Data'!$C:$C), _xlfn.XMATCH($A$1,'Talnagögn | Numerical Data'!$1:$1))</f>
        <v>19.074136583333335</v>
      </c>
      <c r="G13" s="226">
        <f>F13/$F$14</f>
        <v>1.8045957395857203E-3</v>
      </c>
      <c r="H13" s="219" cm="1">
        <f t="array" ref="H13">INDEX('Talnagögn | Numerical Data'!$1:$1048576, _xlfn.XMATCH($A12,'Talnagögn | Numerical Data'!$C:$C), _xlfn.XMATCH($A$1,'Talnagögn | Numerical Data'!$1:$1))-INDEX('Talnagögn | Numerical Data'!$1:$1048576, _xlfn.XMATCH($A12,'Talnagögn | Numerical Data'!$C:$C), _xlfn.XMATCH($B$3,'Talnagögn | Numerical Data'!$1:$1))</f>
        <v>-1.2700100233333345</v>
      </c>
      <c r="I13" s="229" cm="1">
        <f t="array" ref="I13">INDEX('Talnagögn | Numerical Data'!$1:$1048576, _xlfn.XMATCH($A12,'Talnagögn | Numerical Data'!$C:$C), _xlfn.XMATCH($A$1,'Talnagögn | Numerical Data'!$1:$1))/INDEX('Talnagögn | Numerical Data'!$1:$1048576, _xlfn.XMATCH($A12,'Talnagögn | Numerical Data'!$C:$C), _xlfn.XMATCH($B$3,'Talnagögn | Numerical Data'!$1:$1))-1</f>
        <v>-6.2426311011598679E-2</v>
      </c>
      <c r="J13" s="220" cm="1">
        <f t="array" ref="J13">INDEX('Talnagögn | Numerical Data'!$1:$1048576, _xlfn.XMATCH($A12,'Talnagögn | Numerical Data'!$C:$C), _xlfn.XMATCH($A$1,'Talnagögn | Numerical Data'!$1:$1))-INDEX('Talnagögn | Numerical Data'!$1:$1048576, _xlfn.XMATCH($A12,'Talnagögn | Numerical Data'!$C:$C), _xlfn.XMATCH($B$2,'Talnagögn | Numerical Data'!$1:$1))</f>
        <v>-6.9330015699999983</v>
      </c>
      <c r="K13" s="221" cm="1">
        <f t="array" ref="K13">INDEX('Talnagögn | Numerical Data'!$1:$1048576, _xlfn.XMATCH($A12,'Talnagögn | Numerical Data'!$C:$C), _xlfn.XMATCH($A$1,'Talnagögn | Numerical Data'!$1:$1))/INDEX('Talnagögn | Numerical Data'!$1:$1048576, _xlfn.XMATCH($A12,'Talnagögn | Numerical Data'!$C:$C), _xlfn.XMATCH($B$2,'Talnagögn | Numerical Data'!$1:$1))-1</f>
        <v>-0.26658071830603924</v>
      </c>
      <c r="L13" s="21"/>
      <c r="M13" s="217" t="s">
        <v>304</v>
      </c>
      <c r="N13" s="220" cm="1">
        <f t="array" ref="N13">INDEX('Talnagögn | Numerical Data'!$1:$1048576, _xlfn.XMATCH($B12,'Talnagögn | Numerical Data'!$C:$C), _xlfn.XMATCH($B$4,'Talnagögn | Numerical Data'!$1:$1))-INDEX('Talnagögn | Numerical Data'!$1:$1048576, _xlfn.XMATCH($A12,'Talnagögn | Numerical Data'!$C:$C), _xlfn.XMATCH($B$2,'Talnagögn | Numerical Data'!$1:$1))</f>
        <v>-6.6087544452087457</v>
      </c>
      <c r="O13" s="679" cm="1">
        <f t="array" ref="O13">INDEX('Talnagögn | Numerical Data'!$1:$1048576, _xlfn.XMATCH($B12,'Talnagögn | Numerical Data'!$C:$C), _xlfn.XMATCH($B$4,'Talnagögn | Numerical Data'!$1:$1))/INDEX('Talnagögn | Numerical Data'!$1:$1048576, _xlfn.XMATCH($A12,'Talnagögn | Numerical Data'!$C:$C), _xlfn.XMATCH($B$2,'Talnagögn | Numerical Data'!$1:$1))-1</f>
        <v>-0.25411309795967307</v>
      </c>
      <c r="P13" s="717"/>
      <c r="Q13" s="716"/>
      <c r="R13" s="109"/>
      <c r="S13" s="110"/>
      <c r="T13" s="111"/>
      <c r="U13" s="217" t="s">
        <v>214</v>
      </c>
      <c r="V13" s="218" cm="1">
        <f t="array" ref="V13">INDEX('Talnagögn | Numerical Data'!$1:$1048576, _xlfn.XMATCH($A12,'Talnagögn | Numerical Data'!$C:$C), _xlfn.XMATCH($A$1,'Talnagögn | Numerical Data'!$1:$1))</f>
        <v>19.074136583333335</v>
      </c>
      <c r="W13" s="226">
        <f>V13/$F$14</f>
        <v>1.8045957395857203E-3</v>
      </c>
      <c r="X13" s="219" cm="1">
        <f t="array" ref="X13">INDEX('Talnagögn | Numerical Data'!$1:$1048576, _xlfn.XMATCH($A12,'Talnagögn | Numerical Data'!$C:$C), _xlfn.XMATCH($A$1,'Talnagögn | Numerical Data'!$1:$1))-INDEX('Talnagögn | Numerical Data'!$1:$1048576, _xlfn.XMATCH($A12,'Talnagögn | Numerical Data'!$C:$C), _xlfn.XMATCH($B$3,'Talnagögn | Numerical Data'!$1:$1))</f>
        <v>-1.2700100233333345</v>
      </c>
      <c r="Y13" s="229" cm="1">
        <f t="array" ref="Y13">INDEX('Talnagögn | Numerical Data'!$1:$1048576, _xlfn.XMATCH($A12,'Talnagögn | Numerical Data'!$C:$C), _xlfn.XMATCH($A$1,'Talnagögn | Numerical Data'!$1:$1))/INDEX('Talnagögn | Numerical Data'!$1:$1048576, _xlfn.XMATCH($A12,'Talnagögn | Numerical Data'!$C:$C), _xlfn.XMATCH($B$3,'Talnagögn | Numerical Data'!$1:$1))-1</f>
        <v>-6.2426311011598679E-2</v>
      </c>
      <c r="Z13" s="220" cm="1">
        <f t="array" ref="Z13">INDEX('Talnagögn | Numerical Data'!$1:$1048576, _xlfn.XMATCH($A12,'Talnagögn | Numerical Data'!$C:$C), _xlfn.XMATCH($A$1,'Talnagögn | Numerical Data'!$1:$1))-INDEX('Talnagögn | Numerical Data'!$1:$1048576, _xlfn.XMATCH($A12,'Talnagögn | Numerical Data'!$C:$C), _xlfn.XMATCH($B$2,'Talnagögn | Numerical Data'!$1:$1))</f>
        <v>-6.9330015699999983</v>
      </c>
      <c r="AA13" s="221" cm="1">
        <f t="array" ref="AA13">INDEX('Talnagögn | Numerical Data'!$1:$1048576, _xlfn.XMATCH($A12,'Talnagögn | Numerical Data'!$C:$C), _xlfn.XMATCH($A$1,'Talnagögn | Numerical Data'!$1:$1))/INDEX('Talnagögn | Numerical Data'!$1:$1048576, _xlfn.XMATCH($A12,'Talnagögn | Numerical Data'!$C:$C), _xlfn.XMATCH($B$2,'Talnagögn | Numerical Data'!$1:$1))-1</f>
        <v>-0.26658071830603924</v>
      </c>
      <c r="AB13" s="21"/>
      <c r="AC13" s="217" t="s">
        <v>214</v>
      </c>
      <c r="AD13" s="220" cm="1">
        <f t="array" ref="AD13">INDEX('Talnagögn | Numerical Data'!$1:$1048576, _xlfn.XMATCH($B12,'Talnagögn | Numerical Data'!$C:$C), _xlfn.XMATCH($B$4,'Talnagögn | Numerical Data'!$1:$1))-INDEX('Talnagögn | Numerical Data'!$1:$1048576, _xlfn.XMATCH($A12,'Talnagögn | Numerical Data'!$C:$C), _xlfn.XMATCH($B$2,'Talnagögn | Numerical Data'!$1:$1))</f>
        <v>-6.6087544452087457</v>
      </c>
      <c r="AE13" s="679" cm="1">
        <f t="array" ref="AE13">INDEX('Talnagögn | Numerical Data'!$1:$1048576, _xlfn.XMATCH($B12,'Talnagögn | Numerical Data'!$C:$C), _xlfn.XMATCH($B$4,'Talnagögn | Numerical Data'!$1:$1))/INDEX('Talnagögn | Numerical Data'!$1:$1048576, _xlfn.XMATCH($A12,'Talnagögn | Numerical Data'!$C:$C), _xlfn.XMATCH($B$2,'Talnagögn | Numerical Data'!$1:$1))-1</f>
        <v>-0.25411309795967307</v>
      </c>
      <c r="AF13" s="717"/>
      <c r="AG13" s="716"/>
    </row>
    <row r="14" spans="1:33" s="5" customFormat="1" ht="24" customHeight="1" x14ac:dyDescent="0.4">
      <c r="A14" s="50"/>
      <c r="B14" s="50"/>
      <c r="C14" s="88" t="s">
        <v>317</v>
      </c>
      <c r="D14" s="107" t="s">
        <v>44</v>
      </c>
      <c r="E14" s="216" t="s">
        <v>12</v>
      </c>
      <c r="F14" s="203" cm="1">
        <f t="array" ref="F14">INDEX('Talnagögn | Numerical Data'!$1:$1048576, _xlfn.XMATCH($A13,'Talnagögn | Numerical Data'!$C:$C), _xlfn.XMATCH($A$1,'Talnagögn | Numerical Data'!1:1))</f>
        <v>10569.755965240265</v>
      </c>
      <c r="G14" s="227">
        <f>SUM(G8:G13)</f>
        <v>1</v>
      </c>
      <c r="H14" s="208" cm="1">
        <f t="array" ref="H14">INDEX('Talnagögn | Numerical Data'!$1:$1048576, _xlfn.XMATCH($A$13,'Talnagögn | Numerical Data'!$C:$C), _xlfn.XMATCH($A$1,'Talnagögn | Numerical Data'!$1:$1))-INDEX('Talnagögn | Numerical Data'!$1:$1048576, _xlfn.XMATCH($A$13,'Talnagögn | Numerical Data'!$C:$C), _xlfn.XMATCH($B$3,'Talnagögn | Numerical Data'!$1:$1))</f>
        <v>-428.25483946628265</v>
      </c>
      <c r="I14" s="230" cm="1">
        <f t="array" ref="I14">INDEX('Talnagögn | Numerical Data'!$1:$1048576, _xlfn.XMATCH($A$13,'Talnagögn | Numerical Data'!$C:$C), _xlfn.XMATCH($A$1,'Talnagögn | Numerical Data'!$1:$1))/INDEX('Talnagögn | Numerical Data'!$1:$1048576, _xlfn.XMATCH($A$13,'Talnagögn | Numerical Data'!$C:$C), _xlfn.XMATCH($B$3,'Talnagögn | Numerical Data'!$1:$1))-1</f>
        <v>-3.8939299758008361E-2</v>
      </c>
      <c r="J14" s="208" cm="1">
        <f t="array" ref="J14">INDEX('Talnagögn | Numerical Data'!$1:$1048576, _xlfn.XMATCH($A$13,'Talnagögn | Numerical Data'!$C:$C), _xlfn.XMATCH($A$1,'Talnagögn | Numerical Data'!$1:$1))-INDEX('Talnagögn | Numerical Data'!$1:$1048576, _xlfn.XMATCH($A$13,'Talnagögn | Numerical Data'!$C:$C), _xlfn.XMATCH($B$2,'Talnagögn | Numerical Data'!$1:$1))</f>
        <v>-186.79585255701932</v>
      </c>
      <c r="K14" s="206" cm="1">
        <f t="array" ref="K14">INDEX('Talnagögn | Numerical Data'!$1:$1048576, _xlfn.XMATCH($A$13,'Talnagögn | Numerical Data'!$C:$C), _xlfn.XMATCH($A$1,'Talnagögn | Numerical Data'!$1:$1))/INDEX('Talnagögn | Numerical Data'!$1:$1048576, _xlfn.XMATCH($A$13,'Talnagögn | Numerical Data'!$C:$C), _xlfn.XMATCH($B$2,'Talnagögn | Numerical Data'!$1:$1))-1</f>
        <v>-1.7365774434141223E-2</v>
      </c>
      <c r="L14" s="21"/>
      <c r="M14" s="216" t="s">
        <v>12</v>
      </c>
      <c r="N14" s="203" cm="1">
        <f t="array" ref="N14">INDEX('Talnagögn | Numerical Data'!$1:$1048576, _xlfn.XMATCH($B13,'Talnagögn | Numerical Data'!$C:$C), _xlfn.XMATCH($B$4,'Talnagögn | Numerical Data'!$1:$1))-INDEX('Talnagögn | Numerical Data'!$1:$1048576, _xlfn.XMATCH($A13,'Talnagögn | Numerical Data'!$C:$C), _xlfn.XMATCH($B$2,'Talnagögn | Numerical Data'!$1:$1))</f>
        <v>-842.44804181316613</v>
      </c>
      <c r="O14" s="711" cm="1">
        <f t="array" ref="O14">INDEX('Talnagögn | Numerical Data'!$1:$1048576, _xlfn.XMATCH($B13,'Talnagögn | Numerical Data'!$C:$C), _xlfn.XMATCH($B$4,'Talnagögn | Numerical Data'!$1:$1))/INDEX('Talnagögn | Numerical Data'!$1:$1048576, _xlfn.XMATCH($A13,'Talnagögn | Numerical Data'!$C:$C), _xlfn.XMATCH($B$2,'Talnagögn | Numerical Data'!$1:$1))-1</f>
        <v>-7.8319526190474109E-2</v>
      </c>
      <c r="P14" s="718"/>
      <c r="Q14" s="719"/>
      <c r="R14" s="109"/>
      <c r="S14" s="110"/>
      <c r="T14" s="111"/>
      <c r="U14" s="216" t="s">
        <v>145</v>
      </c>
      <c r="V14" s="203" cm="1">
        <f t="array" ref="V14">INDEX('Talnagögn | Numerical Data'!$1:$1048576, _xlfn.XMATCH($A13,'Talnagögn | Numerical Data'!$C:$C), _xlfn.XMATCH($A$1,'Talnagögn | Numerical Data'!1:1))</f>
        <v>10569.755965240265</v>
      </c>
      <c r="W14" s="227">
        <f>SUM(W8:W13)</f>
        <v>1</v>
      </c>
      <c r="X14" s="208" cm="1">
        <f t="array" ref="X14">INDEX('Talnagögn | Numerical Data'!$1:$1048576, _xlfn.XMATCH($A$13,'Talnagögn | Numerical Data'!$C:$C), _xlfn.XMATCH($A$1,'Talnagögn | Numerical Data'!$1:$1))-INDEX('Talnagögn | Numerical Data'!$1:$1048576, _xlfn.XMATCH($A$13,'Talnagögn | Numerical Data'!$C:$C), _xlfn.XMATCH($B$3,'Talnagögn | Numerical Data'!$1:$1))</f>
        <v>-428.25483946628265</v>
      </c>
      <c r="Y14" s="230" cm="1">
        <f t="array" ref="Y14">INDEX('Talnagögn | Numerical Data'!$1:$1048576, _xlfn.XMATCH($A$13,'Talnagögn | Numerical Data'!$C:$C), _xlfn.XMATCH($A$1,'Talnagögn | Numerical Data'!$1:$1))/INDEX('Talnagögn | Numerical Data'!$1:$1048576, _xlfn.XMATCH($A$13,'Talnagögn | Numerical Data'!$C:$C), _xlfn.XMATCH($B$3,'Talnagögn | Numerical Data'!$1:$1))-1</f>
        <v>-3.8939299758008361E-2</v>
      </c>
      <c r="Z14" s="208" cm="1">
        <f t="array" ref="Z14">INDEX('Talnagögn | Numerical Data'!$1:$1048576, _xlfn.XMATCH($A$13,'Talnagögn | Numerical Data'!$C:$C), _xlfn.XMATCH($A$1,'Talnagögn | Numerical Data'!$1:$1))-INDEX('Talnagögn | Numerical Data'!$1:$1048576, _xlfn.XMATCH($A$13,'Talnagögn | Numerical Data'!$C:$C), _xlfn.XMATCH($B$2,'Talnagögn | Numerical Data'!$1:$1))</f>
        <v>-186.79585255701932</v>
      </c>
      <c r="AA14" s="206" cm="1">
        <f t="array" ref="AA14">INDEX('Talnagögn | Numerical Data'!$1:$1048576, _xlfn.XMATCH($A$13,'Talnagögn | Numerical Data'!$C:$C), _xlfn.XMATCH($A$1,'Talnagögn | Numerical Data'!$1:$1))/INDEX('Talnagögn | Numerical Data'!$1:$1048576, _xlfn.XMATCH($A$13,'Talnagögn | Numerical Data'!$C:$C), _xlfn.XMATCH($B$2,'Talnagögn | Numerical Data'!$1:$1))-1</f>
        <v>-1.7365774434141223E-2</v>
      </c>
      <c r="AB14" s="21"/>
      <c r="AC14" s="216" t="s">
        <v>145</v>
      </c>
      <c r="AD14" s="203" cm="1">
        <f t="array" ref="AD14">INDEX('Talnagögn | Numerical Data'!$1:$1048576, _xlfn.XMATCH($B13,'Talnagögn | Numerical Data'!$C:$C), _xlfn.XMATCH($B$4,'Talnagögn | Numerical Data'!$1:$1))-INDEX('Talnagögn | Numerical Data'!$1:$1048576, _xlfn.XMATCH($A13,'Talnagögn | Numerical Data'!$C:$C), _xlfn.XMATCH($B$2,'Talnagögn | Numerical Data'!$1:$1))</f>
        <v>-842.44804181316613</v>
      </c>
      <c r="AE14" s="941" cm="1">
        <f t="array" ref="AE14">INDEX('Talnagögn | Numerical Data'!$1:$1048576, _xlfn.XMATCH($B13,'Talnagögn | Numerical Data'!$C:$C), _xlfn.XMATCH($B$4,'Talnagögn | Numerical Data'!$1:$1))/INDEX('Talnagögn | Numerical Data'!$1:$1048576, _xlfn.XMATCH($A13,'Talnagögn | Numerical Data'!$C:$C), _xlfn.XMATCH($B$2,'Talnagögn | Numerical Data'!$1:$1))-1</f>
        <v>-7.8319526190474109E-2</v>
      </c>
      <c r="AF14" s="718"/>
      <c r="AG14" s="720"/>
    </row>
    <row r="15" spans="1:33" s="5" customFormat="1" x14ac:dyDescent="0.4">
      <c r="A15" s="632"/>
      <c r="B15" s="632"/>
      <c r="C15" s="27" t="s">
        <v>44</v>
      </c>
      <c r="D15" s="107"/>
      <c r="E15" s="113" t="s">
        <v>215</v>
      </c>
      <c r="F15" s="114"/>
      <c r="G15" s="115"/>
      <c r="H15" s="116"/>
      <c r="I15" s="117"/>
      <c r="J15" s="116"/>
      <c r="K15" s="117"/>
      <c r="L15" s="21"/>
      <c r="M15" s="113"/>
      <c r="P15" s="104"/>
      <c r="Q15" s="108"/>
      <c r="R15" s="109"/>
      <c r="S15" s="110"/>
      <c r="T15" s="111"/>
      <c r="U15" s="113" t="s">
        <v>474</v>
      </c>
      <c r="V15" s="115"/>
      <c r="W15" s="115"/>
      <c r="X15" s="115"/>
      <c r="Y15" s="115"/>
      <c r="Z15" s="115"/>
      <c r="AA15" s="115"/>
      <c r="AB15" s="21"/>
      <c r="AC15" s="115"/>
      <c r="AD15" s="127"/>
    </row>
    <row r="16" spans="1:33" s="5" customFormat="1" x14ac:dyDescent="0.4">
      <c r="A16" s="632"/>
      <c r="B16" s="632"/>
      <c r="C16" s="636"/>
      <c r="D16" s="107"/>
      <c r="E16" s="113" t="s">
        <v>359</v>
      </c>
      <c r="F16" s="116"/>
      <c r="G16" s="62"/>
      <c r="I16" s="104"/>
      <c r="J16" s="104"/>
      <c r="K16" s="108"/>
      <c r="L16" s="21"/>
      <c r="M16" s="21"/>
      <c r="N16" s="109"/>
      <c r="O16" s="109"/>
      <c r="P16" s="109"/>
      <c r="Q16" s="108"/>
      <c r="R16" s="109"/>
      <c r="S16" s="110"/>
      <c r="T16" s="111"/>
      <c r="U16" s="113" t="s">
        <v>146</v>
      </c>
      <c r="V16" s="114"/>
      <c r="W16" s="115"/>
      <c r="X16" s="116"/>
      <c r="Y16" s="117"/>
      <c r="Z16" s="116"/>
      <c r="AA16" s="117"/>
      <c r="AB16" s="21"/>
      <c r="AC16" s="117"/>
      <c r="AD16" s="127"/>
    </row>
    <row r="17" spans="1:30" s="5" customFormat="1" x14ac:dyDescent="0.4">
      <c r="A17" s="632"/>
      <c r="B17" s="637"/>
      <c r="C17" s="636"/>
      <c r="D17" s="107"/>
      <c r="E17" s="118" t="s">
        <v>216</v>
      </c>
      <c r="F17" s="115"/>
      <c r="G17" s="115"/>
      <c r="H17" s="115"/>
      <c r="I17" s="115"/>
      <c r="J17" s="115"/>
      <c r="K17" s="115"/>
      <c r="L17" s="21"/>
      <c r="M17" s="21"/>
      <c r="P17" s="115"/>
      <c r="Q17" s="115"/>
      <c r="R17" s="119"/>
      <c r="S17" s="121"/>
      <c r="T17" s="111"/>
      <c r="U17" s="113" t="s">
        <v>147</v>
      </c>
      <c r="V17" s="116"/>
      <c r="W17" s="62"/>
      <c r="X17" s="127"/>
      <c r="Y17" s="104"/>
      <c r="Z17" s="104"/>
      <c r="AA17" s="108"/>
      <c r="AB17" s="21"/>
      <c r="AC17" s="108"/>
      <c r="AD17" s="127"/>
    </row>
    <row r="18" spans="1:30" ht="18.600000000000001" customHeight="1" x14ac:dyDescent="0.4">
      <c r="A18" s="632"/>
      <c r="B18" s="637"/>
      <c r="C18" s="636"/>
      <c r="M18" s="183"/>
      <c r="S18" s="121"/>
    </row>
    <row r="19" spans="1:30" x14ac:dyDescent="0.4">
      <c r="C19" s="636"/>
      <c r="K19" s="615"/>
      <c r="S19" s="121"/>
    </row>
    <row r="20" spans="1:30" x14ac:dyDescent="0.4">
      <c r="S20" s="121"/>
    </row>
    <row r="21" spans="1:30" x14ac:dyDescent="0.4">
      <c r="S21" s="121"/>
    </row>
    <row r="22" spans="1:30" x14ac:dyDescent="0.4">
      <c r="S22" s="121"/>
    </row>
    <row r="23" spans="1:30" x14ac:dyDescent="0.4">
      <c r="S23" s="121"/>
    </row>
    <row r="24" spans="1:30" x14ac:dyDescent="0.4">
      <c r="S24" s="121"/>
    </row>
    <row r="25" spans="1:30" x14ac:dyDescent="0.4">
      <c r="S25" s="121"/>
    </row>
    <row r="26" spans="1:30" x14ac:dyDescent="0.4">
      <c r="S26" s="121"/>
    </row>
    <row r="27" spans="1:30" x14ac:dyDescent="0.4">
      <c r="S27" s="121"/>
    </row>
    <row r="28" spans="1:30" x14ac:dyDescent="0.4">
      <c r="S28" s="121"/>
    </row>
    <row r="29" spans="1:30" x14ac:dyDescent="0.4">
      <c r="S29" s="121"/>
    </row>
    <row r="30" spans="1:30" x14ac:dyDescent="0.4">
      <c r="S30" s="121"/>
    </row>
    <row r="31" spans="1:30" x14ac:dyDescent="0.4">
      <c r="S31" s="121"/>
    </row>
    <row r="32" spans="1:30" x14ac:dyDescent="0.4">
      <c r="S32" s="121"/>
    </row>
    <row r="33" spans="1:30" x14ac:dyDescent="0.4">
      <c r="S33" s="121"/>
    </row>
    <row r="34" spans="1:30" x14ac:dyDescent="0.4">
      <c r="S34" s="121"/>
    </row>
    <row r="35" spans="1:30" x14ac:dyDescent="0.4">
      <c r="S35" s="121"/>
    </row>
    <row r="36" spans="1:30" x14ac:dyDescent="0.4">
      <c r="S36" s="121"/>
    </row>
    <row r="37" spans="1:30" x14ac:dyDescent="0.4">
      <c r="S37" s="121"/>
    </row>
    <row r="38" spans="1:30" x14ac:dyDescent="0.4">
      <c r="S38" s="121"/>
    </row>
    <row r="39" spans="1:30" x14ac:dyDescent="0.4">
      <c r="S39" s="121"/>
    </row>
    <row r="40" spans="1:30" x14ac:dyDescent="0.4">
      <c r="S40" s="121"/>
    </row>
    <row r="41" spans="1:30" x14ac:dyDescent="0.4">
      <c r="S41" s="121"/>
    </row>
    <row r="42" spans="1:30" s="256" customFormat="1" ht="27" customHeight="1" x14ac:dyDescent="0.4">
      <c r="A42" s="638"/>
      <c r="B42" s="638"/>
      <c r="C42" s="638"/>
      <c r="E42" s="723" t="str">
        <f>UPPER('Talnagögn | Numerical Data'!$E$5)</f>
        <v>SÖGULEG LOSUN</v>
      </c>
      <c r="S42" s="257"/>
      <c r="U42" s="723" t="str">
        <f>UPPER('Talnagögn | Numerical Data'!$G$5)</f>
        <v>HISTORICAL EMISSIONS</v>
      </c>
      <c r="V42" s="258"/>
      <c r="X42" s="258"/>
      <c r="Z42" s="258"/>
      <c r="AD42" s="258"/>
    </row>
    <row r="43" spans="1:30" x14ac:dyDescent="0.4">
      <c r="S43" s="103"/>
    </row>
    <row r="44" spans="1:30" x14ac:dyDescent="0.4">
      <c r="S44" s="103"/>
    </row>
    <row r="45" spans="1:30" x14ac:dyDescent="0.4">
      <c r="S45" s="103"/>
    </row>
    <row r="46" spans="1:30" x14ac:dyDescent="0.4">
      <c r="S46" s="103"/>
    </row>
    <row r="47" spans="1:30" x14ac:dyDescent="0.4">
      <c r="S47" s="103"/>
    </row>
    <row r="48" spans="1:30" x14ac:dyDescent="0.4">
      <c r="S48" s="103"/>
    </row>
    <row r="49" spans="19:19" x14ac:dyDescent="0.4">
      <c r="S49" s="103"/>
    </row>
    <row r="50" spans="19:19" x14ac:dyDescent="0.4">
      <c r="S50" s="103"/>
    </row>
    <row r="51" spans="19:19" x14ac:dyDescent="0.4">
      <c r="S51" s="103"/>
    </row>
    <row r="52" spans="19:19" x14ac:dyDescent="0.4">
      <c r="S52" s="103"/>
    </row>
    <row r="53" spans="19:19" x14ac:dyDescent="0.4">
      <c r="S53" s="103"/>
    </row>
    <row r="54" spans="19:19" x14ac:dyDescent="0.4">
      <c r="S54" s="103"/>
    </row>
    <row r="55" spans="19:19" x14ac:dyDescent="0.4">
      <c r="S55" s="103"/>
    </row>
    <row r="56" spans="19:19" x14ac:dyDescent="0.4">
      <c r="S56" s="103"/>
    </row>
    <row r="57" spans="19:19" x14ac:dyDescent="0.4">
      <c r="S57" s="103"/>
    </row>
    <row r="58" spans="19:19" x14ac:dyDescent="0.4">
      <c r="S58" s="103"/>
    </row>
    <row r="59" spans="19:19" x14ac:dyDescent="0.4">
      <c r="S59" s="103"/>
    </row>
    <row r="60" spans="19:19" x14ac:dyDescent="0.4">
      <c r="S60" s="103"/>
    </row>
    <row r="61" spans="19:19" x14ac:dyDescent="0.4">
      <c r="S61" s="103"/>
    </row>
    <row r="62" spans="19:19" x14ac:dyDescent="0.4">
      <c r="S62" s="103"/>
    </row>
    <row r="63" spans="19:19" x14ac:dyDescent="0.4">
      <c r="S63" s="103"/>
    </row>
    <row r="64" spans="19:19" x14ac:dyDescent="0.4">
      <c r="S64" s="103"/>
    </row>
    <row r="65" spans="1:30" x14ac:dyDescent="0.4">
      <c r="S65" s="103"/>
    </row>
    <row r="66" spans="1:30" s="256" customFormat="1" ht="27" customHeight="1" x14ac:dyDescent="0.4">
      <c r="A66" s="638"/>
      <c r="B66" s="638"/>
      <c r="C66" s="638"/>
      <c r="E66" s="723" t="str">
        <f>UPPER('Talnagögn | Numerical Data'!$E$14)</f>
        <v>LOSUNARSPÁ: SVIÐSMYND BYGGÐ Á AÐGERÐUM STJÓRNVALDA</v>
      </c>
      <c r="S66" s="257"/>
      <c r="U66" s="723" t="str">
        <f>UPPER('Talnagögn | Numerical Data'!$G$14)</f>
        <v>EMISSION PROJECTIONS: GOVERNMENT POLICY-BASED SCENARIO</v>
      </c>
      <c r="V66" s="258"/>
      <c r="X66" s="258"/>
      <c r="Z66" s="258"/>
      <c r="AD66" s="258"/>
    </row>
    <row r="67" spans="1:30" x14ac:dyDescent="0.4">
      <c r="S67" s="103"/>
    </row>
    <row r="68" spans="1:30" x14ac:dyDescent="0.4">
      <c r="S68" s="103"/>
    </row>
    <row r="69" spans="1:30" x14ac:dyDescent="0.4">
      <c r="S69" s="103"/>
    </row>
    <row r="70" spans="1:30" x14ac:dyDescent="0.4">
      <c r="S70" s="103"/>
    </row>
    <row r="71" spans="1:30" x14ac:dyDescent="0.4">
      <c r="S71" s="103"/>
    </row>
    <row r="72" spans="1:30" x14ac:dyDescent="0.4">
      <c r="S72" s="103"/>
    </row>
    <row r="73" spans="1:30" x14ac:dyDescent="0.4">
      <c r="S73" s="103"/>
    </row>
    <row r="74" spans="1:30" x14ac:dyDescent="0.4">
      <c r="S74" s="103"/>
    </row>
    <row r="75" spans="1:30" x14ac:dyDescent="0.4">
      <c r="S75" s="103"/>
    </row>
    <row r="76" spans="1:30" x14ac:dyDescent="0.4">
      <c r="S76" s="103"/>
    </row>
    <row r="77" spans="1:30" x14ac:dyDescent="0.4">
      <c r="S77" s="103"/>
    </row>
    <row r="78" spans="1:30" x14ac:dyDescent="0.4">
      <c r="S78" s="103"/>
    </row>
    <row r="79" spans="1:30" x14ac:dyDescent="0.4">
      <c r="S79" s="103"/>
    </row>
    <row r="80" spans="1:30" x14ac:dyDescent="0.4">
      <c r="S80" s="103"/>
    </row>
    <row r="81" spans="19:19" x14ac:dyDescent="0.4">
      <c r="S81" s="103"/>
    </row>
    <row r="82" spans="19:19" x14ac:dyDescent="0.4">
      <c r="S82" s="103"/>
    </row>
    <row r="83" spans="19:19" x14ac:dyDescent="0.4">
      <c r="S83" s="103"/>
    </row>
    <row r="84" spans="19:19" x14ac:dyDescent="0.4">
      <c r="S84" s="103"/>
    </row>
    <row r="85" spans="19:19" x14ac:dyDescent="0.4">
      <c r="S85" s="103"/>
    </row>
    <row r="86" spans="19:19" x14ac:dyDescent="0.4">
      <c r="S86" s="103"/>
    </row>
    <row r="87" spans="19:19" x14ac:dyDescent="0.4">
      <c r="S87" s="103"/>
    </row>
    <row r="88" spans="19:19" x14ac:dyDescent="0.4">
      <c r="S88" s="103"/>
    </row>
    <row r="89" spans="19:19" x14ac:dyDescent="0.4">
      <c r="S89" s="103"/>
    </row>
    <row r="90" spans="19:19" x14ac:dyDescent="0.4">
      <c r="S90" s="103"/>
    </row>
    <row r="91" spans="19:19" x14ac:dyDescent="0.4">
      <c r="S91" s="103"/>
    </row>
    <row r="92" spans="19:19" x14ac:dyDescent="0.4">
      <c r="S92" s="103"/>
    </row>
    <row r="93" spans="19:19" x14ac:dyDescent="0.4">
      <c r="S93" s="103"/>
    </row>
    <row r="94" spans="19:19" x14ac:dyDescent="0.4">
      <c r="S94" s="103"/>
    </row>
    <row r="95" spans="19:19" x14ac:dyDescent="0.4">
      <c r="S95" s="103"/>
    </row>
    <row r="96" spans="19:19" x14ac:dyDescent="0.4">
      <c r="S96" s="103"/>
    </row>
    <row r="97" spans="19:19" x14ac:dyDescent="0.4">
      <c r="S97" s="103"/>
    </row>
    <row r="98" spans="19:19" x14ac:dyDescent="0.4">
      <c r="S98" s="103"/>
    </row>
    <row r="99" spans="19:19" x14ac:dyDescent="0.4">
      <c r="S99" s="103"/>
    </row>
    <row r="100" spans="19:19" x14ac:dyDescent="0.4">
      <c r="S100" s="103"/>
    </row>
    <row r="101" spans="19:19" x14ac:dyDescent="0.4">
      <c r="S101" s="103"/>
    </row>
    <row r="102" spans="19:19" x14ac:dyDescent="0.4">
      <c r="S102" s="103"/>
    </row>
    <row r="103" spans="19:19" x14ac:dyDescent="0.4">
      <c r="S103" s="103"/>
    </row>
    <row r="104" spans="19:19" x14ac:dyDescent="0.4">
      <c r="S104" s="103"/>
    </row>
    <row r="105" spans="19:19" x14ac:dyDescent="0.4">
      <c r="S105" s="103"/>
    </row>
    <row r="106" spans="19:19" x14ac:dyDescent="0.4">
      <c r="S106" s="103"/>
    </row>
    <row r="107" spans="19:19" x14ac:dyDescent="0.4">
      <c r="S107" s="103"/>
    </row>
    <row r="108" spans="19:19" x14ac:dyDescent="0.4">
      <c r="S108" s="103"/>
    </row>
    <row r="109" spans="19:19" x14ac:dyDescent="0.4">
      <c r="S109" s="103"/>
    </row>
    <row r="110" spans="19:19" x14ac:dyDescent="0.4">
      <c r="S110" s="103"/>
    </row>
    <row r="111" spans="19:19" x14ac:dyDescent="0.4">
      <c r="S111" s="103"/>
    </row>
    <row r="112" spans="19:19" x14ac:dyDescent="0.4">
      <c r="S112" s="103"/>
    </row>
    <row r="113" spans="1:41" s="231" customFormat="1" ht="45" customHeight="1" x14ac:dyDescent="0.85">
      <c r="A113" s="639"/>
      <c r="B113" s="639"/>
      <c r="C113" s="639"/>
      <c r="E113" s="671" t="s">
        <v>96</v>
      </c>
      <c r="S113" s="232"/>
      <c r="U113" s="671" t="s">
        <v>176</v>
      </c>
      <c r="V113" s="233"/>
      <c r="X113" s="233"/>
      <c r="Z113" s="233"/>
      <c r="AD113" s="233"/>
    </row>
    <row r="114" spans="1:41" s="234" customFormat="1" ht="49.5" customHeight="1" x14ac:dyDescent="0.4">
      <c r="A114" s="640"/>
      <c r="B114" s="640"/>
      <c r="C114" s="640"/>
      <c r="E114" s="672" t="s">
        <v>178</v>
      </c>
      <c r="F114" s="235"/>
      <c r="G114" s="235"/>
      <c r="H114" s="235"/>
      <c r="I114" s="235"/>
      <c r="J114" s="235"/>
      <c r="K114" s="235"/>
      <c r="L114" s="235"/>
      <c r="M114" s="235"/>
      <c r="N114" s="235"/>
      <c r="O114" s="235"/>
      <c r="P114" s="236"/>
      <c r="Q114" s="236"/>
      <c r="R114" s="236"/>
      <c r="S114" s="237"/>
      <c r="U114" s="672" t="s">
        <v>363</v>
      </c>
      <c r="V114" s="235"/>
      <c r="W114" s="235"/>
      <c r="X114" s="235"/>
      <c r="Y114" s="235"/>
      <c r="Z114" s="235"/>
      <c r="AA114" s="235"/>
      <c r="AB114" s="235"/>
      <c r="AC114" s="235"/>
      <c r="AD114" s="235"/>
    </row>
    <row r="115" spans="1:41" x14ac:dyDescent="0.4">
      <c r="S115" s="103"/>
    </row>
    <row r="116" spans="1:41" ht="36.6" customHeight="1" x14ac:dyDescent="0.55000000000000004">
      <c r="A116" s="699"/>
      <c r="B116" s="700"/>
      <c r="C116" s="701"/>
      <c r="E116" s="702" t="s">
        <v>375</v>
      </c>
      <c r="S116" s="103"/>
      <c r="U116" s="702" t="s">
        <v>376</v>
      </c>
      <c r="V116" s="271"/>
      <c r="W116" s="271"/>
      <c r="X116" s="271"/>
      <c r="Y116" s="271"/>
      <c r="Z116" s="21"/>
      <c r="AD116" s="21"/>
      <c r="AJ116" s="271"/>
      <c r="AK116" s="271"/>
      <c r="AL116" s="112"/>
      <c r="AM116" s="271"/>
      <c r="AN116" s="271"/>
      <c r="AO116" s="271"/>
    </row>
    <row r="117" spans="1:41" ht="34.950000000000003" customHeight="1" x14ac:dyDescent="0.4">
      <c r="C117" s="26" t="s">
        <v>44</v>
      </c>
      <c r="E117" s="1327" t="str">
        <f>"STAÐAN ÁRIÐ "&amp;$A$1</f>
        <v>STAÐAN ÁRIÐ 2025</v>
      </c>
      <c r="F117" s="1371"/>
      <c r="G117" s="1371"/>
      <c r="H117" s="1371"/>
      <c r="I117" s="1371"/>
      <c r="J117" s="1371"/>
      <c r="K117" s="1372"/>
      <c r="M117" s="1327" t="str">
        <f>$M$5</f>
        <v>FRAMTÍÐARHORFUR</v>
      </c>
      <c r="N117" s="1329" t="str">
        <f>$N$5</f>
        <v>Áætluð breyting í losun milli 2005 og 2030</v>
      </c>
      <c r="O117" s="1330"/>
      <c r="S117" s="103"/>
      <c r="U117" s="1327" t="str">
        <f>$A$1&amp;" EMISSIONS"</f>
        <v>2025 EMISSIONS</v>
      </c>
      <c r="V117" s="1383"/>
      <c r="W117" s="1371"/>
      <c r="X117" s="1371"/>
      <c r="Y117" s="1371"/>
      <c r="Z117" s="1371"/>
      <c r="AA117" s="1372"/>
      <c r="AC117" s="1327" t="s">
        <v>334</v>
      </c>
      <c r="AD117" s="1329" t="str">
        <f>$AD$5</f>
        <v>Estimated change in emissions between 2005 and 2030</v>
      </c>
      <c r="AE117" s="1330"/>
    </row>
    <row r="118" spans="1:41" ht="17.399999999999999" x14ac:dyDescent="0.4">
      <c r="A118" s="69"/>
      <c r="E118" s="1327"/>
      <c r="F118" s="1335" t="str">
        <f>$F$6</f>
        <v>Losun 2025</v>
      </c>
      <c r="G118" s="1336"/>
      <c r="H118" s="1337" t="str">
        <f>$H$6</f>
        <v>Breyting frá 2024</v>
      </c>
      <c r="I118" s="1336"/>
      <c r="J118" s="1337" t="str">
        <f>$J$6</f>
        <v>Breyting frá 2005</v>
      </c>
      <c r="K118" s="1338"/>
      <c r="M118" s="1327"/>
      <c r="N118" s="1331" t="str">
        <f>$N$6</f>
        <v>Losunarspá: Sviðsmynd byggð á aðgerðum stjórnvalda</v>
      </c>
      <c r="O118" s="1332"/>
      <c r="P118" s="104"/>
      <c r="Q118" s="105"/>
      <c r="R118" s="104"/>
      <c r="S118" s="103"/>
      <c r="U118" s="1327"/>
      <c r="V118" s="1335" t="str">
        <f>$V$6</f>
        <v>Emissions in 2025</v>
      </c>
      <c r="W118" s="1336"/>
      <c r="X118" s="1337" t="str">
        <f>$X$6</f>
        <v>Change from 2024</v>
      </c>
      <c r="Y118" s="1336"/>
      <c r="Z118" s="1337" t="str">
        <f>$Z$6</f>
        <v>Change from 2005</v>
      </c>
      <c r="AA118" s="1338"/>
      <c r="AC118" s="1327"/>
      <c r="AD118" s="1333" t="str">
        <f>$AD$6</f>
        <v>Emission Projections: Government Policy-Based Scenario</v>
      </c>
      <c r="AE118" s="1334"/>
    </row>
    <row r="119" spans="1:41" ht="30" customHeight="1" thickBot="1" x14ac:dyDescent="0.45">
      <c r="A119" s="69"/>
      <c r="E119" s="1328"/>
      <c r="F119" s="253" t="str">
        <f>$F$7</f>
        <v>Þús. tonn CO₂-íg.</v>
      </c>
      <c r="G119" s="255" t="s">
        <v>4</v>
      </c>
      <c r="H119" s="253" t="str">
        <f>$F$7</f>
        <v>Þús. tonn CO₂-íg.</v>
      </c>
      <c r="I119" s="255" t="s">
        <v>4</v>
      </c>
      <c r="J119" s="253" t="str">
        <f>$F$7</f>
        <v>Þús. tonn CO₂-íg.</v>
      </c>
      <c r="K119" s="254" t="s">
        <v>4</v>
      </c>
      <c r="M119" s="1328"/>
      <c r="N119" s="253" t="str">
        <f>$F$7</f>
        <v>Þús. tonn CO₂-íg.</v>
      </c>
      <c r="O119" s="253" t="s">
        <v>4</v>
      </c>
      <c r="P119" s="104"/>
      <c r="Q119" s="105"/>
      <c r="R119" s="104"/>
      <c r="S119" s="103"/>
      <c r="U119" s="1328"/>
      <c r="V119" s="313" t="str">
        <f>$V$7</f>
        <v>Thousand tons CO₂e</v>
      </c>
      <c r="W119" s="255" t="s">
        <v>4</v>
      </c>
      <c r="X119" s="313" t="str">
        <f>$V$7</f>
        <v>Thousand tons CO₂e</v>
      </c>
      <c r="Y119" s="255" t="s">
        <v>4</v>
      </c>
      <c r="Z119" s="313" t="str">
        <f>$V$7</f>
        <v>Thousand tons CO₂e</v>
      </c>
      <c r="AA119" s="254" t="s">
        <v>4</v>
      </c>
      <c r="AC119" s="1328"/>
      <c r="AD119" s="253" t="str">
        <f>$V$7</f>
        <v>Thousand tons CO₂e</v>
      </c>
      <c r="AE119" s="253" t="s">
        <v>4</v>
      </c>
    </row>
    <row r="120" spans="1:41" ht="21" customHeight="1" thickTop="1" x14ac:dyDescent="0.4">
      <c r="A120" s="27" t="s">
        <v>47</v>
      </c>
      <c r="B120" s="26" t="s">
        <v>236</v>
      </c>
      <c r="C120" s="26" t="s">
        <v>242</v>
      </c>
      <c r="D120" s="20" t="s">
        <v>44</v>
      </c>
      <c r="E120" s="276" t="str">
        <f>'Talnagögn | Numerical Data'!$E$284</f>
        <v>Vegasamgöngur</v>
      </c>
      <c r="F120" s="259" cm="1">
        <f t="array" ref="F120">INDEX('Talnagögn | Numerical Data'!$1:$1048576, _xlfn.XMATCH($A120,'Talnagögn | Numerical Data'!$B:$B), _xlfn.XMATCH($A$1,'Talnagögn | Numerical Data'!$1:$1))</f>
        <v>917.25938476071508</v>
      </c>
      <c r="G120" s="942">
        <f t="shared" ref="G120:G127" si="0">$F120/$F$128</f>
        <v>0.3283247519543554</v>
      </c>
      <c r="H120" s="259" cm="1">
        <f t="array" ref="H120">INDEX('Talnagögn | Numerical Data'!$1:$1048576, _xlfn.XMATCH($A120,'Talnagögn | Numerical Data'!$B:$B), _xlfn.XMATCH($A$1,'Talnagögn | Numerical Data'!$1:$1))-INDEX('Talnagögn | Numerical Data'!$1:$1048576, _xlfn.XMATCH($A120,'Talnagögn | Numerical Data'!$B:$B), _xlfn.XMATCH($B$3,'Talnagögn | Numerical Data'!$1:$1))</f>
        <v>11.751960279153423</v>
      </c>
      <c r="I120" s="946" cm="1">
        <f t="array" ref="I120">INDEX('Talnagögn | Numerical Data'!$1:$1048576, _xlfn.XMATCH($A120,'Talnagögn | Numerical Data'!$B:$B), _xlfn.XMATCH($A$1,'Talnagögn | Numerical Data'!$1:$1))/INDEX('Talnagögn | Numerical Data'!$1:$1048576, _xlfn.XMATCH($A120,'Talnagögn | Numerical Data'!$B:$B), _xlfn.XMATCH($B$3,'Talnagögn | Numerical Data'!$1:$1))-1</f>
        <v>1.2978314656980183E-2</v>
      </c>
      <c r="J120" s="259" cm="1">
        <f t="array" ref="J120">INDEX('Talnagögn | Numerical Data'!$1:$1048576, _xlfn.XMATCH($A120,'Talnagögn | Numerical Data'!$B:$B), _xlfn.XMATCH($A$1,'Talnagögn | Numerical Data'!$1:$1))-INDEX('Talnagögn | Numerical Data'!$1:$1048576, _xlfn.XMATCH($A120,'Talnagögn | Numerical Data'!$B:$B), _xlfn.XMATCH($B$2,'Talnagögn | Numerical Data'!$1:$1))</f>
        <v>144.2921835985353</v>
      </c>
      <c r="K120" s="260" cm="1">
        <f t="array" ref="K120">INDEX('Talnagögn | Numerical Data'!$1:$1048576, _xlfn.XMATCH($A120,'Talnagögn | Numerical Data'!$B:$B), _xlfn.XMATCH($A$1,'Talnagögn | Numerical Data'!$1:$1))/INDEX('Talnagögn | Numerical Data'!$1:$1048576, _xlfn.XMATCH($A120,'Talnagögn | Numerical Data'!$B:$B), _xlfn.XMATCH($B$2,'Talnagögn | Numerical Data'!$1:$1))-1</f>
        <v>0.18667309994730386</v>
      </c>
      <c r="M120" s="276" t="str">
        <f>'Talnagögn | Numerical Data'!$E$284</f>
        <v>Vegasamgöngur</v>
      </c>
      <c r="N120" s="259" cm="1">
        <f t="array" ref="N120">INDEX('Talnagögn | Numerical Data'!$1:$1048576, _xlfn.XMATCH($B120,'Talnagögn | Numerical Data'!$C:$C), _xlfn.XMATCH($B$4,'Talnagögn | Numerical Data'!$1:$1))-INDEX('Talnagögn | Numerical Data'!$1:$1048576, _xlfn.XMATCH($A120,'Talnagögn | Numerical Data'!$C:$C), _xlfn.XMATCH($B$2,'Talnagögn | Numerical Data'!$1:$1))</f>
        <v>13.257501189084564</v>
      </c>
      <c r="O120" s="680" cm="1">
        <f t="array" ref="O120">INDEX('Talnagögn | Numerical Data'!$1:$1048576, _xlfn.XMATCH($B120,'Talnagögn | Numerical Data'!$C:$C), _xlfn.XMATCH($B$4,'Talnagögn | Numerical Data'!$1:$1))/INDEX('Talnagögn | Numerical Data'!$1:$1048576, _xlfn.XMATCH($A120,'Talnagögn | Numerical Data'!$C:$C), _xlfn.XMATCH($B$2,'Talnagögn | Numerical Data'!$1:$1))-1</f>
        <v>1.7151440797425144E-2</v>
      </c>
      <c r="P120" s="109"/>
      <c r="Q120" s="109"/>
      <c r="R120" s="109"/>
      <c r="S120" s="103"/>
      <c r="U120" s="276" t="s">
        <v>149</v>
      </c>
      <c r="V120" s="259" cm="1">
        <f t="array" ref="V120">INDEX('Talnagögn | Numerical Data'!$1:$1048576, _xlfn.XMATCH($A120,'Talnagögn | Numerical Data'!$B:$B), _xlfn.XMATCH($A$1,'Talnagögn | Numerical Data'!$1:$1))</f>
        <v>917.25938476071508</v>
      </c>
      <c r="W120" s="948">
        <f t="shared" ref="W120:W127" si="1">$F120/$F$128</f>
        <v>0.3283247519543554</v>
      </c>
      <c r="X120" s="949" cm="1">
        <f t="array" ref="X120">INDEX('Talnagögn | Numerical Data'!$1:$1048576, _xlfn.XMATCH($A120,'Talnagögn | Numerical Data'!$B:$B), _xlfn.XMATCH($A$1,'Talnagögn | Numerical Data'!$1:$1))-INDEX('Talnagögn | Numerical Data'!$1:$1048576, _xlfn.XMATCH($A120,'Talnagögn | Numerical Data'!$B:$B), _xlfn.XMATCH($B$3,'Talnagögn | Numerical Data'!$1:$1))</f>
        <v>11.751960279153423</v>
      </c>
      <c r="Y120" s="950" cm="1">
        <f t="array" ref="Y120">INDEX('Talnagögn | Numerical Data'!$1:$1048576, _xlfn.XMATCH($A120,'Talnagögn | Numerical Data'!$B:$B), _xlfn.XMATCH($A$1,'Talnagögn | Numerical Data'!$1:$1))/INDEX('Talnagögn | Numerical Data'!$1:$1048576, _xlfn.XMATCH($A120,'Talnagögn | Numerical Data'!$B:$B), _xlfn.XMATCH($B$3,'Talnagögn | Numerical Data'!$1:$1))-1</f>
        <v>1.2978314656980183E-2</v>
      </c>
      <c r="Z120" s="259" cm="1">
        <f t="array" ref="Z120">INDEX('Talnagögn | Numerical Data'!$1:$1048576, _xlfn.XMATCH($A120,'Talnagögn | Numerical Data'!$B:$B), _xlfn.XMATCH($A$1,'Talnagögn | Numerical Data'!$1:$1))-INDEX('Talnagögn | Numerical Data'!$1:$1048576, _xlfn.XMATCH($A120,'Talnagögn | Numerical Data'!$B:$B), _xlfn.XMATCH($B$2,'Talnagögn | Numerical Data'!$1:$1))</f>
        <v>144.2921835985353</v>
      </c>
      <c r="AA120" s="260" cm="1">
        <f t="array" ref="AA120">INDEX('Talnagögn | Numerical Data'!$1:$1048576, _xlfn.XMATCH($A120,'Talnagögn | Numerical Data'!$B:$B), _xlfn.XMATCH($A$1,'Talnagögn | Numerical Data'!$1:$1))/INDEX('Talnagögn | Numerical Data'!$1:$1048576, _xlfn.XMATCH($A120,'Talnagögn | Numerical Data'!$B:$B), _xlfn.XMATCH($B$2,'Talnagögn | Numerical Data'!$1:$1))-1</f>
        <v>0.18667309994730386</v>
      </c>
      <c r="AC120" s="276" t="s">
        <v>149</v>
      </c>
      <c r="AD120" s="259" cm="1">
        <f t="array" ref="AD120">INDEX('Talnagögn | Numerical Data'!$1:$1048576, _xlfn.XMATCH($B120,'Talnagögn | Numerical Data'!$C:$C), _xlfn.XMATCH($B$4,'Talnagögn | Numerical Data'!$1:$1))-INDEX('Talnagögn | Numerical Data'!$1:$1048576, _xlfn.XMATCH($A120,'Talnagögn | Numerical Data'!$C:$C), _xlfn.XMATCH($B$2,'Talnagögn | Numerical Data'!$1:$1))</f>
        <v>13.257501189084564</v>
      </c>
      <c r="AE120" s="680" cm="1">
        <f t="array" ref="AE120">INDEX('Talnagögn | Numerical Data'!$1:$1048576, _xlfn.XMATCH($B120,'Talnagögn | Numerical Data'!$C:$C), _xlfn.XMATCH($B$4,'Talnagögn | Numerical Data'!$1:$1))/INDEX('Talnagögn | Numerical Data'!$1:$1048576, _xlfn.XMATCH($A120,'Talnagögn | Numerical Data'!$C:$C), _xlfn.XMATCH($B$2,'Talnagögn | Numerical Data'!$1:$1))-1</f>
        <v>1.7151440797425144E-2</v>
      </c>
    </row>
    <row r="121" spans="1:41" ht="21" customHeight="1" x14ac:dyDescent="0.4">
      <c r="A121" s="27" t="s">
        <v>40</v>
      </c>
      <c r="B121" s="26" t="s">
        <v>223</v>
      </c>
      <c r="C121" s="26" t="s">
        <v>230</v>
      </c>
      <c r="D121" s="20" t="s">
        <v>44</v>
      </c>
      <c r="E121" s="277" t="str">
        <f>'Talnagögn | Numerical Data'!$E$286</f>
        <v>Landbúnaður</v>
      </c>
      <c r="F121" s="259" cm="1">
        <f t="array" ref="F121">INDEX('Talnagögn | Numerical Data'!$1:$1048576, _xlfn.XMATCH($A121,'Talnagögn | Numerical Data'!$B:$B), _xlfn.XMATCH($A$1,'Talnagögn | Numerical Data'!$1:$1))</f>
        <v>668.34042724521601</v>
      </c>
      <c r="G121" s="943">
        <f t="shared" si="0"/>
        <v>0.23922644852916575</v>
      </c>
      <c r="H121" s="945" cm="1">
        <f t="array" ref="H121">INDEX('Talnagögn | Numerical Data'!$1:$1048576, _xlfn.XMATCH($A121,'Talnagögn | Numerical Data'!$B:$B), _xlfn.XMATCH($A$1,'Talnagögn | Numerical Data'!$1:$1))-INDEX('Talnagögn | Numerical Data'!$1:$1048576, _xlfn.XMATCH($A121,'Talnagögn | Numerical Data'!$B:$B), _xlfn.XMATCH($B$3,'Talnagögn | Numerical Data'!$1:$1))</f>
        <v>-0.41798729362869835</v>
      </c>
      <c r="I121" s="947" cm="1">
        <f t="array" ref="I121">INDEX('Talnagögn | Numerical Data'!$1:$1048576, _xlfn.XMATCH($A121,'Talnagögn | Numerical Data'!$B:$B), _xlfn.XMATCH($A$1,'Talnagögn | Numerical Data'!$1:$1))/INDEX('Talnagögn | Numerical Data'!$1:$1048576, _xlfn.XMATCH($A121,'Talnagögn | Numerical Data'!$B:$B), _xlfn.XMATCH($B$3,'Talnagögn | Numerical Data'!$1:$1))-1</f>
        <v>-6.2501986448559865E-4</v>
      </c>
      <c r="J121" s="259" cm="1">
        <f t="array" ref="J121">INDEX('Talnagögn | Numerical Data'!$1:$1048576, _xlfn.XMATCH($A121,'Talnagögn | Numerical Data'!$B:$B), _xlfn.XMATCH($A$1,'Talnagögn | Numerical Data'!$1:$1))-INDEX('Talnagögn | Numerical Data'!$1:$1048576, _xlfn.XMATCH($A121,'Talnagögn | Numerical Data'!$B:$B), _xlfn.XMATCH($B$2,'Talnagögn | Numerical Data'!$1:$1))</f>
        <v>-17.944766173767107</v>
      </c>
      <c r="K121" s="262" cm="1">
        <f t="array" ref="K121">INDEX('Talnagögn | Numerical Data'!$1:$1048576, _xlfn.XMATCH($A121,'Talnagögn | Numerical Data'!$B:$B), _xlfn.XMATCH($A$1,'Talnagögn | Numerical Data'!$1:$1))/INDEX('Talnagögn | Numerical Data'!$1:$1048576, _xlfn.XMATCH($A121,'Talnagögn | Numerical Data'!$B:$B), _xlfn.XMATCH($B$2,'Talnagögn | Numerical Data'!$1:$1))-1</f>
        <v>-2.6147680797787065E-2</v>
      </c>
      <c r="M121" s="277" t="str">
        <f>'Talnagögn | Numerical Data'!$E$286</f>
        <v>Landbúnaður</v>
      </c>
      <c r="N121" s="270" cm="1">
        <f t="array" ref="N121">INDEX('Talnagögn | Numerical Data'!$1:$1048576, _xlfn.XMATCH($B121,'Talnagögn | Numerical Data'!$C:$C), _xlfn.XMATCH($B$4,'Talnagögn | Numerical Data'!$1:$1))-INDEX('Talnagögn | Numerical Data'!$1:$1048576, _xlfn.XMATCH($A121,'Talnagögn | Numerical Data'!$C:$C), _xlfn.XMATCH($B$2,'Talnagögn | Numerical Data'!$1:$1))</f>
        <v>-35.971427832382574</v>
      </c>
      <c r="O121" s="262" cm="1">
        <f t="array" ref="O121">INDEX('Talnagögn | Numerical Data'!$1:$1048576, _xlfn.XMATCH($B121,'Talnagögn | Numerical Data'!$C:$C), _xlfn.XMATCH($B$4,'Talnagögn | Numerical Data'!$1:$1))/INDEX('Talnagögn | Numerical Data'!$1:$1048576, _xlfn.XMATCH($A121,'Talnagögn | Numerical Data'!$C:$C), _xlfn.XMATCH($B$2,'Talnagögn | Numerical Data'!$1:$1))-1</f>
        <v>-5.2414693158652659E-2</v>
      </c>
      <c r="P121" s="109"/>
      <c r="Q121" s="109"/>
      <c r="R121" s="109"/>
      <c r="S121" s="103"/>
      <c r="U121" s="277" t="s">
        <v>111</v>
      </c>
      <c r="V121" s="259" cm="1">
        <f t="array" ref="V121">INDEX('Talnagögn | Numerical Data'!$1:$1048576, _xlfn.XMATCH($A121,'Talnagögn | Numerical Data'!$B:$B), _xlfn.XMATCH($A$1,'Talnagögn | Numerical Data'!$1:$1))</f>
        <v>668.34042724521601</v>
      </c>
      <c r="W121" s="951">
        <f t="shared" si="1"/>
        <v>0.23922644852916575</v>
      </c>
      <c r="X121" s="952" cm="1">
        <f t="array" ref="X121">INDEX('Talnagögn | Numerical Data'!$1:$1048576, _xlfn.XMATCH($A121,'Talnagögn | Numerical Data'!$B:$B), _xlfn.XMATCH($A$1,'Talnagögn | Numerical Data'!$1:$1))-INDEX('Talnagögn | Numerical Data'!$1:$1048576, _xlfn.XMATCH($A121,'Talnagögn | Numerical Data'!$B:$B), _xlfn.XMATCH($B$3,'Talnagögn | Numerical Data'!$1:$1))</f>
        <v>-0.41798729362869835</v>
      </c>
      <c r="Y121" s="953" cm="1">
        <f t="array" ref="Y121">INDEX('Talnagögn | Numerical Data'!$1:$1048576, _xlfn.XMATCH($A121,'Talnagögn | Numerical Data'!$B:$B), _xlfn.XMATCH($A$1,'Talnagögn | Numerical Data'!$1:$1))/INDEX('Talnagögn | Numerical Data'!$1:$1048576, _xlfn.XMATCH($A121,'Talnagögn | Numerical Data'!$B:$B), _xlfn.XMATCH($B$3,'Talnagögn | Numerical Data'!$1:$1))-1</f>
        <v>-6.2501986448559865E-4</v>
      </c>
      <c r="Z121" s="949" cm="1">
        <f t="array" ref="Z121">INDEX('Talnagögn | Numerical Data'!$1:$1048576, _xlfn.XMATCH($A121,'Talnagögn | Numerical Data'!$B:$B), _xlfn.XMATCH($A$1,'Talnagögn | Numerical Data'!$1:$1))-INDEX('Talnagögn | Numerical Data'!$1:$1048576, _xlfn.XMATCH($A121,'Talnagögn | Numerical Data'!$B:$B), _xlfn.XMATCH($B$2,'Talnagögn | Numerical Data'!$1:$1))</f>
        <v>-17.944766173767107</v>
      </c>
      <c r="AA121" s="262" cm="1">
        <f t="array" ref="AA121">INDEX('Talnagögn | Numerical Data'!$1:$1048576, _xlfn.XMATCH($A121,'Talnagögn | Numerical Data'!$B:$B), _xlfn.XMATCH($A$1,'Talnagögn | Numerical Data'!$1:$1))/INDEX('Talnagögn | Numerical Data'!$1:$1048576, _xlfn.XMATCH($A121,'Talnagögn | Numerical Data'!$B:$B), _xlfn.XMATCH($B$2,'Talnagögn | Numerical Data'!$1:$1))-1</f>
        <v>-2.6147680797787065E-2</v>
      </c>
      <c r="AC121" s="277" t="s">
        <v>111</v>
      </c>
      <c r="AD121" s="959" cm="1">
        <f t="array" ref="AD121">INDEX('Talnagögn | Numerical Data'!$1:$1048576, _xlfn.XMATCH($B121,'Talnagögn | Numerical Data'!$C:$C), _xlfn.XMATCH($B$4,'Talnagögn | Numerical Data'!$1:$1))-INDEX('Talnagögn | Numerical Data'!$1:$1048576, _xlfn.XMATCH($A121,'Talnagögn | Numerical Data'!$C:$C), _xlfn.XMATCH($B$2,'Talnagögn | Numerical Data'!$1:$1))</f>
        <v>-35.971427832382574</v>
      </c>
      <c r="AE121" s="960" cm="1">
        <f t="array" ref="AE121">INDEX('Talnagögn | Numerical Data'!$1:$1048576, _xlfn.XMATCH($B121,'Talnagögn | Numerical Data'!$C:$C), _xlfn.XMATCH($B$4,'Talnagögn | Numerical Data'!$1:$1))/INDEX('Talnagögn | Numerical Data'!$1:$1048576, _xlfn.XMATCH($A121,'Talnagögn | Numerical Data'!$C:$C), _xlfn.XMATCH($B$2,'Talnagögn | Numerical Data'!$1:$1))-1</f>
        <v>-5.2414693158652659E-2</v>
      </c>
    </row>
    <row r="122" spans="1:41" ht="21" customHeight="1" x14ac:dyDescent="0.4">
      <c r="A122" s="27" t="s">
        <v>46</v>
      </c>
      <c r="B122" s="26" t="s">
        <v>235</v>
      </c>
      <c r="C122" s="26" t="s">
        <v>241</v>
      </c>
      <c r="D122" s="20" t="s">
        <v>44</v>
      </c>
      <c r="E122" s="277" t="str">
        <f>'Talnagögn | Numerical Data'!$E$285</f>
        <v>Fiskiskip</v>
      </c>
      <c r="F122" s="259" cm="1">
        <f t="array" ref="F122">INDEX('Talnagögn | Numerical Data'!$1:$1048576, _xlfn.XMATCH($A122,'Talnagögn | Numerical Data'!$B:$B), _xlfn.XMATCH($A$1,'Talnagögn | Numerical Data'!$1:$1))</f>
        <v>482.07188977314064</v>
      </c>
      <c r="G122" s="943">
        <f t="shared" si="0"/>
        <v>0.17255329982284473</v>
      </c>
      <c r="H122" s="270" cm="1">
        <f t="array" ref="H122">INDEX('Talnagögn | Numerical Data'!$1:$1048576, _xlfn.XMATCH($A122,'Talnagögn | Numerical Data'!$B:$B), _xlfn.XMATCH($A$1,'Talnagögn | Numerical Data'!$1:$1))-INDEX('Talnagögn | Numerical Data'!$1:$1048576, _xlfn.XMATCH($A122,'Talnagögn | Numerical Data'!$B:$B), _xlfn.XMATCH($B$3,'Talnagögn | Numerical Data'!$1:$1))</f>
        <v>-37.946921513065092</v>
      </c>
      <c r="I122" s="272" cm="1">
        <f t="array" ref="I122">INDEX('Talnagögn | Numerical Data'!$1:$1048576, _xlfn.XMATCH($A122,'Talnagögn | Numerical Data'!$B:$B), _xlfn.XMATCH($A$1,'Talnagögn | Numerical Data'!$1:$1))/INDEX('Talnagögn | Numerical Data'!$1:$1048576, _xlfn.XMATCH($A122,'Talnagögn | Numerical Data'!$B:$B), _xlfn.XMATCH($B$3,'Talnagögn | Numerical Data'!$1:$1))-1</f>
        <v>-7.2972209253753362E-2</v>
      </c>
      <c r="J122" s="259" cm="1">
        <f t="array" ref="J122">INDEX('Talnagögn | Numerical Data'!$1:$1048576, _xlfn.XMATCH($A122,'Talnagögn | Numerical Data'!$B:$B), _xlfn.XMATCH($A$1,'Talnagögn | Numerical Data'!$1:$1))-INDEX('Talnagögn | Numerical Data'!$1:$1048576, _xlfn.XMATCH($A122,'Talnagögn | Numerical Data'!$B:$B), _xlfn.XMATCH($B$2,'Talnagögn | Numerical Data'!$1:$1))</f>
        <v>-260.20390718443872</v>
      </c>
      <c r="K122" s="260" cm="1">
        <f t="array" ref="K122">INDEX('Talnagögn | Numerical Data'!$1:$1048576, _xlfn.XMATCH($A122,'Talnagögn | Numerical Data'!$B:$B), _xlfn.XMATCH($A$1,'Talnagögn | Numerical Data'!$1:$1))/INDEX('Talnagögn | Numerical Data'!$1:$1048576, _xlfn.XMATCH($A122,'Talnagögn | Numerical Data'!$B:$B), _xlfn.XMATCH($B$2,'Talnagögn | Numerical Data'!$1:$1))-1</f>
        <v>-0.35054882329580961</v>
      </c>
      <c r="M122" s="277" t="str">
        <f>'Talnagögn | Numerical Data'!$E$285</f>
        <v>Fiskiskip</v>
      </c>
      <c r="N122" s="270" cm="1">
        <f t="array" ref="N122">INDEX('Talnagögn | Numerical Data'!$1:$1048576, _xlfn.XMATCH($B122,'Talnagögn | Numerical Data'!$C:$C), _xlfn.XMATCH($B$4,'Talnagögn | Numerical Data'!$1:$1))-INDEX('Talnagögn | Numerical Data'!$1:$1048576, _xlfn.XMATCH($A122,'Talnagögn | Numerical Data'!$C:$C), _xlfn.XMATCH($B$2,'Talnagögn | Numerical Data'!$1:$1))</f>
        <v>-285.80893779216456</v>
      </c>
      <c r="O122" s="260" cm="1">
        <f t="array" ref="O122">INDEX('Talnagögn | Numerical Data'!$1:$1048576, _xlfn.XMATCH($B122,'Talnagögn | Numerical Data'!$C:$C), _xlfn.XMATCH($B$4,'Talnagögn | Numerical Data'!$1:$1))/INDEX('Talnagögn | Numerical Data'!$1:$1048576, _xlfn.XMATCH($A122,'Talnagögn | Numerical Data'!$C:$C), _xlfn.XMATCH($B$2,'Talnagögn | Numerical Data'!$1:$1))-1</f>
        <v>-0.38504412910084196</v>
      </c>
      <c r="P122" s="109"/>
      <c r="Q122" s="109"/>
      <c r="R122" s="109"/>
      <c r="S122" s="103"/>
      <c r="U122" s="277" t="s">
        <v>118</v>
      </c>
      <c r="V122" s="259" cm="1">
        <f t="array" ref="V122">INDEX('Talnagögn | Numerical Data'!$1:$1048576, _xlfn.XMATCH($A122,'Talnagögn | Numerical Data'!$B:$B), _xlfn.XMATCH($A$1,'Talnagögn | Numerical Data'!$1:$1))</f>
        <v>482.07188977314064</v>
      </c>
      <c r="W122" s="951">
        <f t="shared" si="1"/>
        <v>0.17255329982284473</v>
      </c>
      <c r="X122" s="270" cm="1">
        <f t="array" ref="X122">INDEX('Talnagögn | Numerical Data'!$1:$1048576, _xlfn.XMATCH($A122,'Talnagögn | Numerical Data'!$B:$B), _xlfn.XMATCH($A$1,'Talnagögn | Numerical Data'!$1:$1))-INDEX('Talnagögn | Numerical Data'!$1:$1048576, _xlfn.XMATCH($A122,'Talnagögn | Numerical Data'!$B:$B), _xlfn.XMATCH($B$3,'Talnagögn | Numerical Data'!$1:$1))</f>
        <v>-37.946921513065092</v>
      </c>
      <c r="Y122" s="272" cm="1">
        <f t="array" ref="Y122">INDEX('Talnagögn | Numerical Data'!$1:$1048576, _xlfn.XMATCH($A122,'Talnagögn | Numerical Data'!$B:$B), _xlfn.XMATCH($A$1,'Talnagögn | Numerical Data'!$1:$1))/INDEX('Talnagögn | Numerical Data'!$1:$1048576, _xlfn.XMATCH($A122,'Talnagögn | Numerical Data'!$B:$B), _xlfn.XMATCH($B$3,'Talnagögn | Numerical Data'!$1:$1))-1</f>
        <v>-7.2972209253753362E-2</v>
      </c>
      <c r="Z122" s="259" cm="1">
        <f t="array" ref="Z122">INDEX('Talnagögn | Numerical Data'!$1:$1048576, _xlfn.XMATCH($A122,'Talnagögn | Numerical Data'!$B:$B), _xlfn.XMATCH($A$1,'Talnagögn | Numerical Data'!$1:$1))-INDEX('Talnagögn | Numerical Data'!$1:$1048576, _xlfn.XMATCH($A122,'Talnagögn | Numerical Data'!$B:$B), _xlfn.XMATCH($B$2,'Talnagögn | Numerical Data'!$1:$1))</f>
        <v>-260.20390718443872</v>
      </c>
      <c r="AA122" s="260" cm="1">
        <f t="array" ref="AA122">INDEX('Talnagögn | Numerical Data'!$1:$1048576, _xlfn.XMATCH($A122,'Talnagögn | Numerical Data'!$B:$B), _xlfn.XMATCH($A$1,'Talnagögn | Numerical Data'!$1:$1))/INDEX('Talnagögn | Numerical Data'!$1:$1048576, _xlfn.XMATCH($A122,'Talnagögn | Numerical Data'!$B:$B), _xlfn.XMATCH($B$2,'Talnagögn | Numerical Data'!$1:$1))-1</f>
        <v>-0.35054882329580961</v>
      </c>
      <c r="AC122" s="277" t="s">
        <v>118</v>
      </c>
      <c r="AD122" s="270" cm="1">
        <f t="array" ref="AD122">INDEX('Talnagögn | Numerical Data'!$1:$1048576, _xlfn.XMATCH($B122,'Talnagögn | Numerical Data'!$C:$C), _xlfn.XMATCH($B$4,'Talnagögn | Numerical Data'!$1:$1))-INDEX('Talnagögn | Numerical Data'!$1:$1048576, _xlfn.XMATCH($A122,'Talnagögn | Numerical Data'!$C:$C), _xlfn.XMATCH($B$2,'Talnagögn | Numerical Data'!$1:$1))</f>
        <v>-285.80893779216456</v>
      </c>
      <c r="AE122" s="260" cm="1">
        <f t="array" ref="AE122">INDEX('Talnagögn | Numerical Data'!$1:$1048576, _xlfn.XMATCH($B122,'Talnagögn | Numerical Data'!$C:$C), _xlfn.XMATCH($B$4,'Talnagögn | Numerical Data'!$1:$1))/INDEX('Talnagögn | Numerical Data'!$1:$1048576, _xlfn.XMATCH($A122,'Talnagögn | Numerical Data'!$C:$C), _xlfn.XMATCH($B$2,'Talnagögn | Numerical Data'!$1:$1))-1</f>
        <v>-0.38504412910084196</v>
      </c>
    </row>
    <row r="123" spans="1:41" ht="21" customHeight="1" x14ac:dyDescent="0.4">
      <c r="A123" s="27" t="s">
        <v>64</v>
      </c>
      <c r="B123" s="26" t="s">
        <v>287</v>
      </c>
      <c r="C123" s="26" t="s">
        <v>291</v>
      </c>
      <c r="D123" s="20" t="s">
        <v>44</v>
      </c>
      <c r="E123" s="277" t="str">
        <f>'Talnagögn | Numerical Data'!$E$287</f>
        <v>Urðun úrgangs</v>
      </c>
      <c r="F123" s="259" cm="1">
        <f t="array" ref="F123">INDEX('Talnagögn | Numerical Data'!$1:$1048576, _xlfn.XMATCH($A123,'Talnagögn | Numerical Data'!$B:$B), _xlfn.XMATCH($A$1,'Talnagögn | Numerical Data'!$1:$1))</f>
        <v>185.03247377735417</v>
      </c>
      <c r="G123" s="272">
        <f t="shared" si="0"/>
        <v>6.6230710817200944E-2</v>
      </c>
      <c r="H123" s="259" cm="1">
        <f t="array" ref="H123">INDEX('Talnagögn | Numerical Data'!$1:$1048576, _xlfn.XMATCH($A123,'Talnagögn | Numerical Data'!$B:$B), _xlfn.XMATCH($A$1,'Talnagögn | Numerical Data'!$1:$1))-INDEX('Talnagögn | Numerical Data'!$1:$1048576, _xlfn.XMATCH($A123,'Talnagögn | Numerical Data'!$B:$B), _xlfn.XMATCH($B$3,'Talnagögn | Numerical Data'!$1:$1))</f>
        <v>-17.928633038629101</v>
      </c>
      <c r="I123" s="272" cm="1">
        <f t="array" ref="I123">INDEX('Talnagögn | Numerical Data'!$1:$1048576, _xlfn.XMATCH($A123,'Talnagögn | Numerical Data'!$B:$B), _xlfn.XMATCH($A$1,'Talnagögn | Numerical Data'!$1:$1))/INDEX('Talnagögn | Numerical Data'!$1:$1048576, _xlfn.XMATCH($A123,'Talnagögn | Numerical Data'!$B:$B), _xlfn.XMATCH($B$3,'Talnagögn | Numerical Data'!$1:$1))-1</f>
        <v>-8.8335313695762752E-2</v>
      </c>
      <c r="J123" s="259" cm="1">
        <f t="array" ref="J123">INDEX('Talnagögn | Numerical Data'!$1:$1048576, _xlfn.XMATCH($A123,'Talnagögn | Numerical Data'!$B:$B), _xlfn.XMATCH($A$1,'Talnagögn | Numerical Data'!$1:$1))-INDEX('Talnagögn | Numerical Data'!$1:$1048576, _xlfn.XMATCH($A123,'Talnagögn | Numerical Data'!$B:$B), _xlfn.XMATCH($B$2,'Talnagögn | Numerical Data'!$1:$1))</f>
        <v>-99.715604428874968</v>
      </c>
      <c r="K123" s="260" cm="1">
        <f t="array" ref="K123">INDEX('Talnagögn | Numerical Data'!$1:$1048576, _xlfn.XMATCH($A123,'Talnagögn | Numerical Data'!$B:$B), _xlfn.XMATCH($A$1,'Talnagögn | Numerical Data'!$1:$1))/INDEX('Talnagögn | Numerical Data'!$1:$1048576, _xlfn.XMATCH($A123,'Talnagögn | Numerical Data'!$B:$B), _xlfn.XMATCH($B$2,'Talnagögn | Numerical Data'!$1:$1))-1</f>
        <v>-0.35018885836572999</v>
      </c>
      <c r="M123" s="277" t="str">
        <f>'Talnagögn | Numerical Data'!$E$287</f>
        <v>Urðun úrgangs</v>
      </c>
      <c r="N123" s="259" cm="1">
        <f t="array" ref="N123">INDEX('Talnagögn | Numerical Data'!$1:$1048576, _xlfn.XMATCH($B123,'Talnagögn | Numerical Data'!$C:$C), _xlfn.XMATCH($B$4,'Talnagögn | Numerical Data'!$1:$1))-INDEX('Talnagögn | Numerical Data'!$1:$1048576, _xlfn.XMATCH($A123,'Talnagögn | Numerical Data'!$C:$C), _xlfn.XMATCH($B$2,'Talnagögn | Numerical Data'!$1:$1))</f>
        <v>-164.97997512647248</v>
      </c>
      <c r="O123" s="260" cm="1">
        <f t="array" ref="O123">INDEX('Talnagögn | Numerical Data'!$1:$1048576, _xlfn.XMATCH($B123,'Talnagögn | Numerical Data'!$C:$C), _xlfn.XMATCH($B$4,'Talnagögn | Numerical Data'!$1:$1))/INDEX('Talnagögn | Numerical Data'!$1:$1048576, _xlfn.XMATCH($A123,'Talnagögn | Numerical Data'!$C:$C), _xlfn.XMATCH($B$2,'Talnagögn | Numerical Data'!$1:$1))-1</f>
        <v>-0.57938924879059428</v>
      </c>
      <c r="P123" s="109"/>
      <c r="Q123" s="109"/>
      <c r="R123" s="109"/>
      <c r="S123" s="103"/>
      <c r="U123" s="277" t="s">
        <v>123</v>
      </c>
      <c r="V123" s="259" cm="1">
        <f t="array" ref="V123">INDEX('Talnagögn | Numerical Data'!$1:$1048576, _xlfn.XMATCH($A123,'Talnagögn | Numerical Data'!$B:$B), _xlfn.XMATCH($A$1,'Talnagögn | Numerical Data'!$1:$1))</f>
        <v>185.03247377735417</v>
      </c>
      <c r="W123" s="272">
        <f t="shared" si="1"/>
        <v>6.6230710817200944E-2</v>
      </c>
      <c r="X123" s="259" cm="1">
        <f t="array" ref="X123">INDEX('Talnagögn | Numerical Data'!$1:$1048576, _xlfn.XMATCH($A123,'Talnagögn | Numerical Data'!$B:$B), _xlfn.XMATCH($A$1,'Talnagögn | Numerical Data'!$1:$1))-INDEX('Talnagögn | Numerical Data'!$1:$1048576, _xlfn.XMATCH($A123,'Talnagögn | Numerical Data'!$B:$B), _xlfn.XMATCH($B$3,'Talnagögn | Numerical Data'!$1:$1))</f>
        <v>-17.928633038629101</v>
      </c>
      <c r="Y123" s="272" cm="1">
        <f t="array" ref="Y123">INDEX('Talnagögn | Numerical Data'!$1:$1048576, _xlfn.XMATCH($A123,'Talnagögn | Numerical Data'!$B:$B), _xlfn.XMATCH($A$1,'Talnagögn | Numerical Data'!$1:$1))/INDEX('Talnagögn | Numerical Data'!$1:$1048576, _xlfn.XMATCH($A123,'Talnagögn | Numerical Data'!$B:$B), _xlfn.XMATCH($B$3,'Talnagögn | Numerical Data'!$1:$1))-1</f>
        <v>-8.8335313695762752E-2</v>
      </c>
      <c r="Z123" s="259" cm="1">
        <f t="array" ref="Z123">INDEX('Talnagögn | Numerical Data'!$1:$1048576, _xlfn.XMATCH($A123,'Talnagögn | Numerical Data'!$B:$B), _xlfn.XMATCH($A$1,'Talnagögn | Numerical Data'!$1:$1))-INDEX('Talnagögn | Numerical Data'!$1:$1048576, _xlfn.XMATCH($A123,'Talnagögn | Numerical Data'!$B:$B), _xlfn.XMATCH($B$2,'Talnagögn | Numerical Data'!$1:$1))</f>
        <v>-99.715604428874968</v>
      </c>
      <c r="AA123" s="260" cm="1">
        <f t="array" ref="AA123">INDEX('Talnagögn | Numerical Data'!$1:$1048576, _xlfn.XMATCH($A123,'Talnagögn | Numerical Data'!$B:$B), _xlfn.XMATCH($A$1,'Talnagögn | Numerical Data'!$1:$1))/INDEX('Talnagögn | Numerical Data'!$1:$1048576, _xlfn.XMATCH($A123,'Talnagögn | Numerical Data'!$B:$B), _xlfn.XMATCH($B$2,'Talnagögn | Numerical Data'!$1:$1))-1</f>
        <v>-0.35018885836572999</v>
      </c>
      <c r="AC123" s="277" t="s">
        <v>123</v>
      </c>
      <c r="AD123" s="259" cm="1">
        <f t="array" ref="AD123">INDEX('Talnagögn | Numerical Data'!$1:$1048576, _xlfn.XMATCH($B123,'Talnagögn | Numerical Data'!$C:$C), _xlfn.XMATCH($B$4,'Talnagögn | Numerical Data'!$1:$1))-INDEX('Talnagögn | Numerical Data'!$1:$1048576, _xlfn.XMATCH($A123,'Talnagögn | Numerical Data'!$C:$C), _xlfn.XMATCH($B$2,'Talnagögn | Numerical Data'!$1:$1))</f>
        <v>-164.97997512647248</v>
      </c>
      <c r="AE123" s="260" cm="1">
        <f t="array" ref="AE123">INDEX('Talnagögn | Numerical Data'!$1:$1048576, _xlfn.XMATCH($B123,'Talnagögn | Numerical Data'!$C:$C), _xlfn.XMATCH($B$4,'Talnagögn | Numerical Data'!$1:$1))/INDEX('Talnagögn | Numerical Data'!$1:$1048576, _xlfn.XMATCH($A123,'Talnagögn | Numerical Data'!$C:$C), _xlfn.XMATCH($B$2,'Talnagögn | Numerical Data'!$1:$1))-1</f>
        <v>-0.57938924879059428</v>
      </c>
    </row>
    <row r="124" spans="1:41" ht="21" customHeight="1" x14ac:dyDescent="0.4">
      <c r="A124" s="27" t="s">
        <v>51</v>
      </c>
      <c r="B124" s="26" t="s">
        <v>237</v>
      </c>
      <c r="C124" s="26" t="s">
        <v>243</v>
      </c>
      <c r="D124" s="20" t="s">
        <v>44</v>
      </c>
      <c r="E124" s="277" t="str">
        <f>'Talnagögn | Numerical Data'!$E$289</f>
        <v>Jarðvarmavirkjanir</v>
      </c>
      <c r="F124" s="259" cm="1">
        <f t="array" ref="F124">INDEX('Talnagögn | Numerical Data'!$1:$1048576, _xlfn.XMATCH($A124,'Talnagögn | Numerical Data'!$B:$B), _xlfn.XMATCH($A$1,'Talnagögn | Numerical Data'!$1:$1))</f>
        <v>214.07609476451782</v>
      </c>
      <c r="G124" s="272">
        <f t="shared" si="0"/>
        <v>7.6626613889868217E-2</v>
      </c>
      <c r="H124" s="261" cm="1">
        <f t="array" ref="H124">INDEX('Talnagögn | Numerical Data'!$1:$1048576, _xlfn.XMATCH($A124,'Talnagögn | Numerical Data'!$B:$B), _xlfn.XMATCH($A$1,'Talnagögn | Numerical Data'!$1:$1))-INDEX('Talnagögn | Numerical Data'!$1:$1048576, _xlfn.XMATCH($A124,'Talnagögn | Numerical Data'!$B:$B), _xlfn.XMATCH($B$3,'Talnagögn | Numerical Data'!$1:$1))</f>
        <v>-9.2201034253866965</v>
      </c>
      <c r="I124" s="272" cm="1">
        <f t="array" ref="I124">INDEX('Talnagögn | Numerical Data'!$1:$1048576, _xlfn.XMATCH($A124,'Talnagögn | Numerical Data'!$B:$B), _xlfn.XMATCH($A$1,'Talnagögn | Numerical Data'!$1:$1))/INDEX('Talnagögn | Numerical Data'!$1:$1048576, _xlfn.XMATCH($A124,'Talnagögn | Numerical Data'!$B:$B), _xlfn.XMATCH($B$3,'Talnagögn | Numerical Data'!$1:$1))-1</f>
        <v>-4.1290910907248679E-2</v>
      </c>
      <c r="J124" s="259" cm="1">
        <f t="array" ref="J124">INDEX('Talnagögn | Numerical Data'!$1:$1048576, _xlfn.XMATCH($A124,'Talnagögn | Numerical Data'!$B:$B), _xlfn.XMATCH($A$1,'Talnagögn | Numerical Data'!$1:$1))-INDEX('Talnagögn | Numerical Data'!$1:$1048576, _xlfn.XMATCH($A124,'Talnagögn | Numerical Data'!$B:$B), _xlfn.XMATCH($B$2,'Talnagögn | Numerical Data'!$1:$1))</f>
        <v>94.815623822436237</v>
      </c>
      <c r="K124" s="260" cm="1">
        <f t="array" ref="K124">INDEX('Talnagögn | Numerical Data'!$1:$1048576, _xlfn.XMATCH($A124,'Talnagögn | Numerical Data'!$B:$B), _xlfn.XMATCH($A$1,'Talnagögn | Numerical Data'!$1:$1))/INDEX('Talnagögn | Numerical Data'!$1:$1048576, _xlfn.XMATCH($A124,'Talnagögn | Numerical Data'!$B:$B), _xlfn.XMATCH($B$2,'Talnagögn | Numerical Data'!$1:$1))-1</f>
        <v>0.7950297619441995</v>
      </c>
      <c r="M124" s="277" t="str">
        <f>'Talnagögn | Numerical Data'!$E$289</f>
        <v>Jarðvarmavirkjanir</v>
      </c>
      <c r="N124" s="259" cm="1">
        <f t="array" ref="N124">INDEX('Talnagögn | Numerical Data'!$1:$1048576, _xlfn.XMATCH($B124,'Talnagögn | Numerical Data'!$C:$C), _xlfn.XMATCH($B$4,'Talnagögn | Numerical Data'!$1:$1))-INDEX('Talnagögn | Numerical Data'!$1:$1048576, _xlfn.XMATCH($A124,'Talnagögn | Numerical Data'!$C:$C), _xlfn.XMATCH($B$2,'Talnagögn | Numerical Data'!$1:$1))</f>
        <v>68.051200412255156</v>
      </c>
      <c r="O124" s="260" cm="1">
        <f t="array" ref="O124">INDEX('Talnagögn | Numerical Data'!$1:$1048576, _xlfn.XMATCH($B124,'Talnagögn | Numerical Data'!$C:$C), _xlfn.XMATCH($B$4,'Talnagögn | Numerical Data'!$1:$1))/INDEX('Talnagögn | Numerical Data'!$1:$1048576, _xlfn.XMATCH($A124,'Talnagögn | Numerical Data'!$C:$C), _xlfn.XMATCH($B$2,'Talnagögn | Numerical Data'!$1:$1))-1</f>
        <v>0.57060985819269461</v>
      </c>
      <c r="P124" s="721"/>
      <c r="Q124" s="109"/>
      <c r="R124" s="109"/>
      <c r="S124" s="103"/>
      <c r="U124" s="277" t="s">
        <v>121</v>
      </c>
      <c r="V124" s="259" cm="1">
        <f t="array" ref="V124">INDEX('Talnagögn | Numerical Data'!$1:$1048576, _xlfn.XMATCH($A124,'Talnagögn | Numerical Data'!$B:$B), _xlfn.XMATCH($A$1,'Talnagögn | Numerical Data'!$1:$1))</f>
        <v>214.07609476451782</v>
      </c>
      <c r="W124" s="272">
        <f t="shared" si="1"/>
        <v>7.6626613889868217E-2</v>
      </c>
      <c r="X124" s="261" cm="1">
        <f t="array" ref="X124">INDEX('Talnagögn | Numerical Data'!$1:$1048576, _xlfn.XMATCH($A124,'Talnagögn | Numerical Data'!$B:$B), _xlfn.XMATCH($A$1,'Talnagögn | Numerical Data'!$1:$1))-INDEX('Talnagögn | Numerical Data'!$1:$1048576, _xlfn.XMATCH($A124,'Talnagögn | Numerical Data'!$B:$B), _xlfn.XMATCH($B$3,'Talnagögn | Numerical Data'!$1:$1))</f>
        <v>-9.2201034253866965</v>
      </c>
      <c r="Y124" s="954" cm="1">
        <f t="array" ref="Y124">INDEX('Talnagögn | Numerical Data'!$1:$1048576, _xlfn.XMATCH($A124,'Talnagögn | Numerical Data'!$B:$B), _xlfn.XMATCH($A$1,'Talnagögn | Numerical Data'!$1:$1))/INDEX('Talnagögn | Numerical Data'!$1:$1048576, _xlfn.XMATCH($A124,'Talnagögn | Numerical Data'!$B:$B), _xlfn.XMATCH($B$3,'Talnagögn | Numerical Data'!$1:$1))-1</f>
        <v>-4.1290910907248679E-2</v>
      </c>
      <c r="Z124" s="259" cm="1">
        <f t="array" ref="Z124">INDEX('Talnagögn | Numerical Data'!$1:$1048576, _xlfn.XMATCH($A124,'Talnagögn | Numerical Data'!$B:$B), _xlfn.XMATCH($A$1,'Talnagögn | Numerical Data'!$1:$1))-INDEX('Talnagögn | Numerical Data'!$1:$1048576, _xlfn.XMATCH($A124,'Talnagögn | Numerical Data'!$B:$B), _xlfn.XMATCH($B$2,'Talnagögn | Numerical Data'!$1:$1))</f>
        <v>94.815623822436237</v>
      </c>
      <c r="AA124" s="260" cm="1">
        <f t="array" ref="AA124">INDEX('Talnagögn | Numerical Data'!$1:$1048576, _xlfn.XMATCH($A124,'Talnagögn | Numerical Data'!$B:$B), _xlfn.XMATCH($A$1,'Talnagögn | Numerical Data'!$1:$1))/INDEX('Talnagögn | Numerical Data'!$1:$1048576, _xlfn.XMATCH($A124,'Talnagögn | Numerical Data'!$B:$B), _xlfn.XMATCH($B$2,'Talnagögn | Numerical Data'!$1:$1))-1</f>
        <v>0.7950297619441995</v>
      </c>
      <c r="AC124" s="277" t="s">
        <v>121</v>
      </c>
      <c r="AD124" s="259" cm="1">
        <f t="array" ref="AD124">INDEX('Talnagögn | Numerical Data'!$1:$1048576, _xlfn.XMATCH($B124,'Talnagögn | Numerical Data'!$C:$C), _xlfn.XMATCH($B$4,'Talnagögn | Numerical Data'!$1:$1))-INDEX('Talnagögn | Numerical Data'!$1:$1048576, _xlfn.XMATCH($A124,'Talnagögn | Numerical Data'!$C:$C), _xlfn.XMATCH($B$2,'Talnagögn | Numerical Data'!$1:$1))</f>
        <v>68.051200412255156</v>
      </c>
      <c r="AE124" s="260" cm="1">
        <f t="array" ref="AE124">INDEX('Talnagögn | Numerical Data'!$1:$1048576, _xlfn.XMATCH($B124,'Talnagögn | Numerical Data'!$C:$C), _xlfn.XMATCH($B$4,'Talnagögn | Numerical Data'!$1:$1))/INDEX('Talnagögn | Numerical Data'!$1:$1048576, _xlfn.XMATCH($A124,'Talnagögn | Numerical Data'!$C:$C), _xlfn.XMATCH($B$2,'Talnagögn | Numerical Data'!$1:$1))-1</f>
        <v>0.57060985819269461</v>
      </c>
    </row>
    <row r="125" spans="1:41" ht="21" customHeight="1" x14ac:dyDescent="0.4">
      <c r="A125" s="27" t="s">
        <v>56</v>
      </c>
      <c r="B125" s="26" t="s">
        <v>257</v>
      </c>
      <c r="C125" s="26" t="s">
        <v>259</v>
      </c>
      <c r="D125" s="20" t="s">
        <v>44</v>
      </c>
      <c r="E125" s="278" t="str">
        <f>'Talnagögn | Numerical Data'!$E$288</f>
        <v>Kælibúnaður (F-gös)</v>
      </c>
      <c r="F125" s="259" cm="1">
        <f t="array" ref="F125">INDEX('Talnagögn | Numerical Data'!$1:$1048576, _xlfn.XMATCH($A125,'Talnagögn | Numerical Data'!$B:$B), _xlfn.XMATCH($A$1,'Talnagögn | Numerical Data'!$1:$1))</f>
        <v>105.65811164441938</v>
      </c>
      <c r="G125" s="272">
        <f t="shared" si="0"/>
        <v>3.7819371351179125E-2</v>
      </c>
      <c r="H125" s="261" cm="1">
        <f t="array" ref="H125">INDEX('Talnagögn | Numerical Data'!$1:$1048576, _xlfn.XMATCH($A125,'Talnagögn | Numerical Data'!$B:$B), _xlfn.XMATCH($A$1,'Talnagögn | Numerical Data'!$1:$1))-INDEX('Talnagögn | Numerical Data'!$1:$1048576, _xlfn.XMATCH($A125,'Talnagögn | Numerical Data'!$B:$B), _xlfn.XMATCH($B$3,'Talnagögn | Numerical Data'!$1:$1))</f>
        <v>-2.1265092400040118</v>
      </c>
      <c r="I125" s="272" cm="1">
        <f t="array" ref="I125">INDEX('Talnagögn | Numerical Data'!$1:$1048576, _xlfn.XMATCH($A125,'Talnagögn | Numerical Data'!$B:$B), _xlfn.XMATCH($A$1,'Talnagögn | Numerical Data'!$1:$1))/INDEX('Talnagögn | Numerical Data'!$1:$1048576, _xlfn.XMATCH($A125,'Talnagögn | Numerical Data'!$B:$B), _xlfn.XMATCH($B$3,'Talnagögn | Numerical Data'!$1:$1))-1</f>
        <v>-1.9729245439238041E-2</v>
      </c>
      <c r="J125" s="259" cm="1">
        <f t="array" ref="J125">INDEX('Talnagögn | Numerical Data'!$1:$1048576, _xlfn.XMATCH($A125,'Talnagögn | Numerical Data'!$B:$B), _xlfn.XMATCH($A$1,'Talnagögn | Numerical Data'!$1:$1))-INDEX('Talnagögn | Numerical Data'!$1:$1048576, _xlfn.XMATCH($A125,'Talnagögn | Numerical Data'!$B:$B), _xlfn.XMATCH($B$2,'Talnagögn | Numerical Data'!$1:$1))</f>
        <v>48.483462701774179</v>
      </c>
      <c r="K125" s="260" cm="1">
        <f t="array" ref="K125">INDEX('Talnagögn | Numerical Data'!$1:$1048576, _xlfn.XMATCH($A125,'Talnagögn | Numerical Data'!$B:$B), _xlfn.XMATCH($A$1,'Talnagögn | Numerical Data'!$1:$1))/INDEX('Talnagögn | Numerical Data'!$1:$1048576, _xlfn.XMATCH($A125,'Talnagögn | Numerical Data'!$B:$B), _xlfn.XMATCH($B$2,'Talnagögn | Numerical Data'!$1:$1))-1</f>
        <v>0.84798881319604447</v>
      </c>
      <c r="M125" s="278" t="str">
        <f>'Talnagögn | Numerical Data'!$E$288</f>
        <v>Kælibúnaður (F-gös)</v>
      </c>
      <c r="N125" s="259" cm="1">
        <f t="array" ref="N125">INDEX('Talnagögn | Numerical Data'!$1:$1048576, _xlfn.XMATCH($B125,'Talnagögn | Numerical Data'!$C:$C), _xlfn.XMATCH($B$4,'Talnagögn | Numerical Data'!$1:$1))-INDEX('Talnagögn | Numerical Data'!$1:$1048576, _xlfn.XMATCH($A125,'Talnagögn | Numerical Data'!$C:$C), _xlfn.XMATCH($B$2,'Talnagögn | Numerical Data'!$1:$1))</f>
        <v>-22.151158626624799</v>
      </c>
      <c r="O125" s="260" cm="1">
        <f t="array" ref="O125">INDEX('Talnagögn | Numerical Data'!$1:$1048576, _xlfn.XMATCH($B125,'Talnagögn | Numerical Data'!$C:$C), _xlfn.XMATCH($B$4,'Talnagögn | Numerical Data'!$1:$1))/INDEX('Talnagögn | Numerical Data'!$1:$1048576, _xlfn.XMATCH($A125,'Talnagögn | Numerical Data'!$C:$C), _xlfn.XMATCH($B$2,'Talnagögn | Numerical Data'!$1:$1))-1</f>
        <v>-0.38742972692050548</v>
      </c>
      <c r="P125" s="721"/>
      <c r="Q125" s="109"/>
      <c r="R125" s="109"/>
      <c r="S125" s="103"/>
      <c r="U125" s="278" t="s">
        <v>119</v>
      </c>
      <c r="V125" s="259" cm="1">
        <f t="array" ref="V125">INDEX('Talnagögn | Numerical Data'!$1:$1048576, _xlfn.XMATCH($A125,'Talnagögn | Numerical Data'!$B:$B), _xlfn.XMATCH($A$1,'Talnagögn | Numerical Data'!$1:$1))</f>
        <v>105.65811164441938</v>
      </c>
      <c r="W125" s="272">
        <f t="shared" si="1"/>
        <v>3.7819371351179125E-2</v>
      </c>
      <c r="X125" s="955" cm="1">
        <f t="array" ref="X125">INDEX('Talnagögn | Numerical Data'!$1:$1048576, _xlfn.XMATCH($A125,'Talnagögn | Numerical Data'!$B:$B), _xlfn.XMATCH($A$1,'Talnagögn | Numerical Data'!$1:$1))-INDEX('Talnagögn | Numerical Data'!$1:$1048576, _xlfn.XMATCH($A125,'Talnagögn | Numerical Data'!$B:$B), _xlfn.XMATCH($B$3,'Talnagögn | Numerical Data'!$1:$1))</f>
        <v>-2.1265092400040118</v>
      </c>
      <c r="Y125" s="954" cm="1">
        <f t="array" ref="Y125">INDEX('Talnagögn | Numerical Data'!$1:$1048576, _xlfn.XMATCH($A125,'Talnagögn | Numerical Data'!$B:$B), _xlfn.XMATCH($A$1,'Talnagögn | Numerical Data'!$1:$1))/INDEX('Talnagögn | Numerical Data'!$1:$1048576, _xlfn.XMATCH($A125,'Talnagögn | Numerical Data'!$B:$B), _xlfn.XMATCH($B$3,'Talnagögn | Numerical Data'!$1:$1))-1</f>
        <v>-1.9729245439238041E-2</v>
      </c>
      <c r="Z125" s="259" cm="1">
        <f t="array" ref="Z125">INDEX('Talnagögn | Numerical Data'!$1:$1048576, _xlfn.XMATCH($A125,'Talnagögn | Numerical Data'!$B:$B), _xlfn.XMATCH($A$1,'Talnagögn | Numerical Data'!$1:$1))-INDEX('Talnagögn | Numerical Data'!$1:$1048576, _xlfn.XMATCH($A125,'Talnagögn | Numerical Data'!$B:$B), _xlfn.XMATCH($B$2,'Talnagögn | Numerical Data'!$1:$1))</f>
        <v>48.483462701774179</v>
      </c>
      <c r="AA125" s="260" cm="1">
        <f t="array" ref="AA125">INDEX('Talnagögn | Numerical Data'!$1:$1048576, _xlfn.XMATCH($A125,'Talnagögn | Numerical Data'!$B:$B), _xlfn.XMATCH($A$1,'Talnagögn | Numerical Data'!$1:$1))/INDEX('Talnagögn | Numerical Data'!$1:$1048576, _xlfn.XMATCH($A125,'Talnagögn | Numerical Data'!$B:$B), _xlfn.XMATCH($B$2,'Talnagögn | Numerical Data'!$1:$1))-1</f>
        <v>0.84798881319604447</v>
      </c>
      <c r="AC125" s="278" t="s">
        <v>119</v>
      </c>
      <c r="AD125" s="259" cm="1">
        <f t="array" ref="AD125">INDEX('Talnagögn | Numerical Data'!$1:$1048576, _xlfn.XMATCH($B125,'Talnagögn | Numerical Data'!$C:$C), _xlfn.XMATCH($B$4,'Talnagögn | Numerical Data'!$1:$1))-INDEX('Talnagögn | Numerical Data'!$1:$1048576, _xlfn.XMATCH($A125,'Talnagögn | Numerical Data'!$C:$C), _xlfn.XMATCH($B$2,'Talnagögn | Numerical Data'!$1:$1))</f>
        <v>-22.151158626624799</v>
      </c>
      <c r="AE125" s="260" cm="1">
        <f t="array" ref="AE125">INDEX('Talnagögn | Numerical Data'!$1:$1048576, _xlfn.XMATCH($B125,'Talnagögn | Numerical Data'!$C:$C), _xlfn.XMATCH($B$4,'Talnagögn | Numerical Data'!$1:$1))/INDEX('Talnagögn | Numerical Data'!$1:$1048576, _xlfn.XMATCH($A125,'Talnagögn | Numerical Data'!$C:$C), _xlfn.XMATCH($B$2,'Talnagögn | Numerical Data'!$1:$1))-1</f>
        <v>-0.38742972692050548</v>
      </c>
    </row>
    <row r="126" spans="1:41" ht="21" customHeight="1" x14ac:dyDescent="0.4">
      <c r="A126" s="27" t="s">
        <v>81</v>
      </c>
      <c r="B126" s="26" t="s">
        <v>249</v>
      </c>
      <c r="C126" s="26" t="s">
        <v>254</v>
      </c>
      <c r="D126" s="20" t="s">
        <v>44</v>
      </c>
      <c r="E126" s="277" t="str">
        <f>'Talnagögn | Numerical Data'!$E$290</f>
        <v>Vélar og tæki</v>
      </c>
      <c r="F126" s="259" cm="1">
        <f t="array" ref="F126">INDEX('Talnagögn | Numerical Data'!$1:$1048576, _xlfn.XMATCH($A126,'Talnagögn | Numerical Data'!$B:$B), _xlfn.XMATCH($A$1,'Talnagögn | Numerical Data'!$1:$1))</f>
        <v>77.003200912657135</v>
      </c>
      <c r="G126" s="272">
        <f t="shared" si="0"/>
        <v>2.756260362049592E-2</v>
      </c>
      <c r="H126" s="944" cm="1">
        <f t="array" ref="H126">INDEX('Talnagögn | Numerical Data'!$1:$1048576, _xlfn.XMATCH($A126,'Talnagögn | Numerical Data'!$B:$B), _xlfn.XMATCH($A$1,'Talnagögn | Numerical Data'!$1:$1))-INDEX('Talnagögn | Numerical Data'!$1:$1048576, _xlfn.XMATCH($A126,'Talnagögn | Numerical Data'!$B:$B), _xlfn.XMATCH($B$3,'Talnagögn | Numerical Data'!$1:$1))</f>
        <v>0.35018079043446448</v>
      </c>
      <c r="I126" s="279" cm="1">
        <f t="array" ref="I126">INDEX('Talnagögn | Numerical Data'!$1:$1048576, _xlfn.XMATCH($A126,'Talnagögn | Numerical Data'!$B:$B), _xlfn.XMATCH($A$1,'Talnagögn | Numerical Data'!$1:$1))/INDEX('Talnagögn | Numerical Data'!$1:$1048576, _xlfn.XMATCH($A126,'Talnagögn | Numerical Data'!$B:$B), _xlfn.XMATCH($B$3,'Talnagögn | Numerical Data'!$1:$1))-1</f>
        <v>4.5683886933105544E-3</v>
      </c>
      <c r="J126" s="259" cm="1">
        <f t="array" ref="J126">INDEX('Talnagögn | Numerical Data'!$1:$1048576, _xlfn.XMATCH($A126,'Talnagögn | Numerical Data'!$B:$B), _xlfn.XMATCH($A$1,'Talnagögn | Numerical Data'!$1:$1))-INDEX('Talnagögn | Numerical Data'!$1:$1048576, _xlfn.XMATCH($A126,'Talnagögn | Numerical Data'!$B:$B), _xlfn.XMATCH($B$2,'Talnagögn | Numerical Data'!$1:$1))</f>
        <v>-159.8893427048381</v>
      </c>
      <c r="K126" s="260" cm="1">
        <f t="array" ref="K126">INDEX('Talnagögn | Numerical Data'!$1:$1048576, _xlfn.XMATCH($A126,'Talnagögn | Numerical Data'!$B:$B), _xlfn.XMATCH($A$1,'Talnagögn | Numerical Data'!$1:$1))/INDEX('Talnagögn | Numerical Data'!$1:$1048576, _xlfn.XMATCH($A126,'Talnagögn | Numerical Data'!$B:$B), _xlfn.XMATCH($B$2,'Talnagögn | Numerical Data'!$1:$1))-1</f>
        <v>-0.67494459835345277</v>
      </c>
      <c r="M126" s="277" t="str">
        <f>'Talnagögn | Numerical Data'!$E$290</f>
        <v>Vélar og tæki</v>
      </c>
      <c r="N126" s="259" cm="1">
        <f t="array" ref="N126">INDEX('Talnagögn | Numerical Data'!$1:$1048576, _xlfn.XMATCH($B126,'Talnagögn | Numerical Data'!$C:$C), _xlfn.XMATCH($B$4,'Talnagögn | Numerical Data'!$1:$1))-INDEX('Talnagögn | Numerical Data'!$1:$1048576, _xlfn.XMATCH($A126,'Talnagögn | Numerical Data'!$C:$C), _xlfn.XMATCH($B$2,'Talnagögn | Numerical Data'!$1:$1))</f>
        <v>-152.26839084173926</v>
      </c>
      <c r="O126" s="260" cm="1">
        <f t="array" ref="O126">INDEX('Talnagögn | Numerical Data'!$1:$1048576, _xlfn.XMATCH($B126,'Talnagögn | Numerical Data'!$C:$C), _xlfn.XMATCH($B$4,'Talnagögn | Numerical Data'!$1:$1))/INDEX('Talnagögn | Numerical Data'!$1:$1048576, _xlfn.XMATCH($A126,'Talnagögn | Numerical Data'!$C:$C), _xlfn.XMATCH($B$2,'Talnagögn | Numerical Data'!$1:$1))-1</f>
        <v>-0.64277409713495848</v>
      </c>
      <c r="P126" s="721"/>
      <c r="Q126" s="109"/>
      <c r="R126" s="109"/>
      <c r="S126" s="103"/>
      <c r="U126" s="277" t="s">
        <v>122</v>
      </c>
      <c r="V126" s="259" cm="1">
        <f t="array" ref="V126">INDEX('Talnagögn | Numerical Data'!$1:$1048576, _xlfn.XMATCH($A126,'Talnagögn | Numerical Data'!$B:$B), _xlfn.XMATCH($A$1,'Talnagögn | Numerical Data'!$1:$1))</f>
        <v>77.003200912657135</v>
      </c>
      <c r="W126" s="272">
        <f t="shared" si="1"/>
        <v>2.756260362049592E-2</v>
      </c>
      <c r="X126" s="956" cm="1">
        <f t="array" ref="X126">INDEX('Talnagögn | Numerical Data'!$1:$1048576, _xlfn.XMATCH($A126,'Talnagögn | Numerical Data'!$B:$B), _xlfn.XMATCH($A$1,'Talnagögn | Numerical Data'!$1:$1))-INDEX('Talnagögn | Numerical Data'!$1:$1048576, _xlfn.XMATCH($A126,'Talnagögn | Numerical Data'!$B:$B), _xlfn.XMATCH($B$3,'Talnagögn | Numerical Data'!$1:$1))</f>
        <v>0.35018079043446448</v>
      </c>
      <c r="Y126" s="957" cm="1">
        <f t="array" ref="Y126">INDEX('Talnagögn | Numerical Data'!$1:$1048576, _xlfn.XMATCH($A126,'Talnagögn | Numerical Data'!$B:$B), _xlfn.XMATCH($A$1,'Talnagögn | Numerical Data'!$1:$1))/INDEX('Talnagögn | Numerical Data'!$1:$1048576, _xlfn.XMATCH($A126,'Talnagögn | Numerical Data'!$B:$B), _xlfn.XMATCH($B$3,'Talnagögn | Numerical Data'!$1:$1))-1</f>
        <v>4.5683886933105544E-3</v>
      </c>
      <c r="Z126" s="259" cm="1">
        <f t="array" ref="Z126">INDEX('Talnagögn | Numerical Data'!$1:$1048576, _xlfn.XMATCH($A126,'Talnagögn | Numerical Data'!$B:$B), _xlfn.XMATCH($A$1,'Talnagögn | Numerical Data'!$1:$1))-INDEX('Talnagögn | Numerical Data'!$1:$1048576, _xlfn.XMATCH($A126,'Talnagögn | Numerical Data'!$B:$B), _xlfn.XMATCH($B$2,'Talnagögn | Numerical Data'!$1:$1))</f>
        <v>-159.8893427048381</v>
      </c>
      <c r="AA126" s="260" cm="1">
        <f t="array" ref="AA126">INDEX('Talnagögn | Numerical Data'!$1:$1048576, _xlfn.XMATCH($A126,'Talnagögn | Numerical Data'!$B:$B), _xlfn.XMATCH($A$1,'Talnagögn | Numerical Data'!$1:$1))/INDEX('Talnagögn | Numerical Data'!$1:$1048576, _xlfn.XMATCH($A126,'Talnagögn | Numerical Data'!$B:$B), _xlfn.XMATCH($B$2,'Talnagögn | Numerical Data'!$1:$1))-1</f>
        <v>-0.67494459835345277</v>
      </c>
      <c r="AC126" s="277" t="s">
        <v>122</v>
      </c>
      <c r="AD126" s="259" cm="1">
        <f t="array" ref="AD126">INDEX('Talnagögn | Numerical Data'!$1:$1048576, _xlfn.XMATCH($B126,'Talnagögn | Numerical Data'!$C:$C), _xlfn.XMATCH($B$4,'Talnagögn | Numerical Data'!$1:$1))-INDEX('Talnagögn | Numerical Data'!$1:$1048576, _xlfn.XMATCH($A126,'Talnagögn | Numerical Data'!$C:$C), _xlfn.XMATCH($B$2,'Talnagögn | Numerical Data'!$1:$1))</f>
        <v>-152.26839084173926</v>
      </c>
      <c r="AE126" s="260" cm="1">
        <f t="array" ref="AE126">INDEX('Talnagögn | Numerical Data'!$1:$1048576, _xlfn.XMATCH($B126,'Talnagögn | Numerical Data'!$C:$C), _xlfn.XMATCH($B$4,'Talnagögn | Numerical Data'!$1:$1))/INDEX('Talnagögn | Numerical Data'!$1:$1048576, _xlfn.XMATCH($A126,'Talnagögn | Numerical Data'!$C:$C), _xlfn.XMATCH($B$2,'Talnagögn | Numerical Data'!$1:$1))-1</f>
        <v>-0.64277409713495848</v>
      </c>
    </row>
    <row r="127" spans="1:41" ht="21" customHeight="1" x14ac:dyDescent="0.4">
      <c r="A127" s="27" t="s">
        <v>82</v>
      </c>
      <c r="B127" s="26" t="s">
        <v>319</v>
      </c>
      <c r="C127" s="26" t="s">
        <v>320</v>
      </c>
      <c r="D127" s="20" t="s">
        <v>44</v>
      </c>
      <c r="E127" s="281" t="str">
        <f>'Talnagögn | Numerical Data'!$E$294</f>
        <v>Önnur losun</v>
      </c>
      <c r="F127" s="263" cm="1">
        <f t="array" ref="F127">INDEX('Talnagögn | Numerical Data'!$1:$1048576, _xlfn.XMATCH($A127,'Talnagögn | Numerical Data'!$B:$B), _xlfn.XMATCH($A$1,'Talnagögn | Numerical Data'!$1:$1))</f>
        <v>144.31484060428602</v>
      </c>
      <c r="G127" s="282">
        <f t="shared" si="0"/>
        <v>5.1656200014890109E-2</v>
      </c>
      <c r="H127" s="263" cm="1">
        <f t="array" ref="H127">INDEX('Talnagögn | Numerical Data'!$1:$1048576, _xlfn.XMATCH($A127,'Talnagögn | Numerical Data'!$B:$B), _xlfn.XMATCH($A$1,'Talnagögn | Numerical Data'!$1:$1))-INDEX('Talnagögn | Numerical Data'!$1:$1048576, _xlfn.XMATCH($A127,'Talnagögn | Numerical Data'!$B:$B), _xlfn.XMATCH($B$3,'Talnagögn | Numerical Data'!$1:$1))</f>
        <v>-23.303407208499266</v>
      </c>
      <c r="I127" s="273" cm="1">
        <f t="array" ref="I127">INDEX('Talnagögn | Numerical Data'!$1:$1048576, _xlfn.XMATCH($A127,'Talnagögn | Numerical Data'!$B:$B), _xlfn.XMATCH($A$1,'Talnagögn | Numerical Data'!$1:$1))/INDEX('Talnagögn | Numerical Data'!$1:$1048576, _xlfn.XMATCH($A127,'Talnagögn | Numerical Data'!$B:$B), _xlfn.XMATCH($B$3,'Talnagögn | Numerical Data'!$1:$1))-1</f>
        <v>-0.13902667229004273</v>
      </c>
      <c r="J127" s="263" cm="1">
        <f t="array" ref="J127">INDEX('Talnagögn | Numerical Data'!$1:$1048576, _xlfn.XMATCH($A127,'Talnagögn | Numerical Data'!$B:$B), _xlfn.XMATCH($A$1,'Talnagögn | Numerical Data'!$1:$1))-INDEX('Talnagögn | Numerical Data'!$1:$1048576, _xlfn.XMATCH($A127,'Talnagögn | Numerical Data'!$B:$B), _xlfn.XMATCH($B$2,'Talnagögn | Numerical Data'!$1:$1))</f>
        <v>-184.67781329125637</v>
      </c>
      <c r="K127" s="264" cm="1">
        <f t="array" ref="K127">INDEX('Talnagögn | Numerical Data'!$1:$1048576, _xlfn.XMATCH($A127,'Talnagögn | Numerical Data'!$B:$B), _xlfn.XMATCH($A$1,'Talnagögn | Numerical Data'!$1:$1))/INDEX('Talnagögn | Numerical Data'!$1:$1048576, _xlfn.XMATCH($A127,'Talnagögn | Numerical Data'!$B:$B), _xlfn.XMATCH($B$2,'Talnagögn | Numerical Data'!$1:$1))-1</f>
        <v>-0.5613432734880851</v>
      </c>
      <c r="M127" s="281" t="str">
        <f>'Talnagögn | Numerical Data'!$E$294</f>
        <v>Önnur losun</v>
      </c>
      <c r="N127" s="263" cm="1">
        <f t="array" ref="N127">INDEX('Talnagögn | Numerical Data'!$1:$1048576, _xlfn.XMATCH($B127,'Talnagögn | Numerical Data'!$C:$C), _xlfn.XMATCH($B$4,'Talnagögn | Numerical Data'!$1:$1))-INDEX('Talnagögn | Numerical Data'!$1:$1048576, _xlfn.XMATCH($A127,'Talnagögn | Numerical Data'!$C:$C), _xlfn.XMATCH($B$2,'Talnagögn | Numerical Data'!$1:$1))</f>
        <v>-187.07796413503002</v>
      </c>
      <c r="O127" s="264" cm="1">
        <f t="array" ref="O127">INDEX('Talnagögn | Numerical Data'!$1:$1048576, _xlfn.XMATCH($B127,'Talnagögn | Numerical Data'!$C:$C), _xlfn.XMATCH($B$4,'Talnagögn | Numerical Data'!$1:$1))/INDEX('Talnagögn | Numerical Data'!$1:$1048576, _xlfn.XMATCH($A127,'Talnagögn | Numerical Data'!$C:$C), _xlfn.XMATCH($B$2,'Talnagögn | Numerical Data'!$1:$1))-1</f>
        <v>-0.56863872770371549</v>
      </c>
      <c r="P127" s="721"/>
      <c r="Q127" s="109"/>
      <c r="R127" s="109"/>
      <c r="S127" s="103"/>
      <c r="U127" s="281" t="s">
        <v>164</v>
      </c>
      <c r="V127" s="263" cm="1">
        <f t="array" ref="V127">INDEX('Talnagögn | Numerical Data'!$1:$1048576, _xlfn.XMATCH($A127,'Talnagögn | Numerical Data'!$B:$B), _xlfn.XMATCH($A$1,'Talnagögn | Numerical Data'!$1:$1))</f>
        <v>144.31484060428602</v>
      </c>
      <c r="W127" s="282">
        <f t="shared" si="1"/>
        <v>5.1656200014890109E-2</v>
      </c>
      <c r="X127" s="263" cm="1">
        <f t="array" ref="X127">INDEX('Talnagögn | Numerical Data'!$1:$1048576, _xlfn.XMATCH($A127,'Talnagögn | Numerical Data'!$B:$B), _xlfn.XMATCH($A$1,'Talnagögn | Numerical Data'!$1:$1))-INDEX('Talnagögn | Numerical Data'!$1:$1048576, _xlfn.XMATCH($A127,'Talnagögn | Numerical Data'!$B:$B), _xlfn.XMATCH($B$3,'Talnagögn | Numerical Data'!$1:$1))</f>
        <v>-23.303407208499266</v>
      </c>
      <c r="Y127" s="273" cm="1">
        <f t="array" ref="Y127">INDEX('Talnagögn | Numerical Data'!$1:$1048576, _xlfn.XMATCH($A127,'Talnagögn | Numerical Data'!$B:$B), _xlfn.XMATCH($A$1,'Talnagögn | Numerical Data'!$1:$1))/INDEX('Talnagögn | Numerical Data'!$1:$1048576, _xlfn.XMATCH($A127,'Talnagögn | Numerical Data'!$B:$B), _xlfn.XMATCH($B$3,'Talnagögn | Numerical Data'!$1:$1))-1</f>
        <v>-0.13902667229004273</v>
      </c>
      <c r="Z127" s="263" cm="1">
        <f t="array" ref="Z127">INDEX('Talnagögn | Numerical Data'!$1:$1048576, _xlfn.XMATCH($A127,'Talnagögn | Numerical Data'!$B:$B), _xlfn.XMATCH($A$1,'Talnagögn | Numerical Data'!$1:$1))-INDEX('Talnagögn | Numerical Data'!$1:$1048576, _xlfn.XMATCH($A127,'Talnagögn | Numerical Data'!$B:$B), _xlfn.XMATCH($B$2,'Talnagögn | Numerical Data'!$1:$1))</f>
        <v>-184.67781329125637</v>
      </c>
      <c r="AA127" s="264" cm="1">
        <f t="array" ref="AA127">INDEX('Talnagögn | Numerical Data'!$1:$1048576, _xlfn.XMATCH($A127,'Talnagögn | Numerical Data'!$B:$B), _xlfn.XMATCH($A$1,'Talnagögn | Numerical Data'!$1:$1))/INDEX('Talnagögn | Numerical Data'!$1:$1048576, _xlfn.XMATCH($A127,'Talnagögn | Numerical Data'!$B:$B), _xlfn.XMATCH($B$2,'Talnagögn | Numerical Data'!$1:$1))-1</f>
        <v>-0.5613432734880851</v>
      </c>
      <c r="AC127" s="281" t="s">
        <v>164</v>
      </c>
      <c r="AD127" s="263" cm="1">
        <f t="array" ref="AD127">INDEX('Talnagögn | Numerical Data'!$1:$1048576, _xlfn.XMATCH($B127,'Talnagögn | Numerical Data'!$C:$C), _xlfn.XMATCH($B$4,'Talnagögn | Numerical Data'!$1:$1))-INDEX('Talnagögn | Numerical Data'!$1:$1048576, _xlfn.XMATCH($A127,'Talnagögn | Numerical Data'!$C:$C), _xlfn.XMATCH($B$2,'Talnagögn | Numerical Data'!$1:$1))</f>
        <v>-187.07796413503002</v>
      </c>
      <c r="AE127" s="264" cm="1">
        <f t="array" ref="AE127">INDEX('Talnagögn | Numerical Data'!$1:$1048576, _xlfn.XMATCH($B127,'Talnagögn | Numerical Data'!$C:$C), _xlfn.XMATCH($B$4,'Talnagögn | Numerical Data'!$1:$1))/INDEX('Talnagögn | Numerical Data'!$1:$1048576, _xlfn.XMATCH($A127,'Talnagögn | Numerical Data'!$C:$C), _xlfn.XMATCH($B$2,'Talnagögn | Numerical Data'!$1:$1))-1</f>
        <v>-0.56863872770371549</v>
      </c>
    </row>
    <row r="128" spans="1:41" s="5" customFormat="1" ht="30" customHeight="1" x14ac:dyDescent="0.4">
      <c r="A128" s="88" t="s">
        <v>188</v>
      </c>
      <c r="B128" s="88" t="s">
        <v>303</v>
      </c>
      <c r="C128" s="88" t="s">
        <v>302</v>
      </c>
      <c r="D128" s="20" t="s">
        <v>44</v>
      </c>
      <c r="E128" s="265" t="s">
        <v>335</v>
      </c>
      <c r="F128" s="266" cm="1">
        <f t="array" ref="F128">INDEX('Talnagögn | Numerical Data'!$1:$1048576, _xlfn.XMATCH($A128,'Talnagögn | Numerical Data'!$B:$B), _xlfn.XMATCH($A$1,'Talnagögn | Numerical Data'!$1:$1))</f>
        <v>2793.7564234823058</v>
      </c>
      <c r="G128" s="274">
        <f>SUM(G120:G127)</f>
        <v>1.0000000000000002</v>
      </c>
      <c r="H128" s="266" cm="1">
        <f t="array" ref="H128">INDEX('Talnagögn | Numerical Data'!$1:$1048576, _xlfn.XMATCH($A128,'Talnagögn | Numerical Data'!$B:$B), _xlfn.XMATCH($A$1,'Talnagögn | Numerical Data'!$1:$1))-INDEX('Talnagögn | Numerical Data'!$1:$1048576, _xlfn.XMATCH($A128,'Talnagögn | Numerical Data'!$B:$B), _xlfn.XMATCH($B$3,'Talnagögn | Numerical Data'!$1:$1))</f>
        <v>-78.841420649625434</v>
      </c>
      <c r="I128" s="280" cm="1">
        <f t="array" ref="I128">INDEX('Talnagögn | Numerical Data'!$1:$1048576, _xlfn.XMATCH($A128,'Talnagögn | Numerical Data'!$B:$B), _xlfn.XMATCH($A$1,'Talnagögn | Numerical Data'!$1:$1))/INDEX('Talnagögn | Numerical Data'!$1:$1048576, _xlfn.XMATCH($A128,'Talnagögn | Numerical Data'!$B:$B), _xlfn.XMATCH($B$3,'Talnagögn | Numerical Data'!$1:$1))-1</f>
        <v>-2.7446034888134685E-2</v>
      </c>
      <c r="J128" s="266" cm="1">
        <f t="array" ref="J128">INDEX('Talnagögn | Numerical Data'!$1:$1048576, _xlfn.XMATCH($A128,'Talnagögn | Numerical Data'!$B:$B), _xlfn.XMATCH($A$1,'Talnagögn | Numerical Data'!$1:$1))-INDEX('Talnagögn | Numerical Data'!$1:$1048576, _xlfn.XMATCH($A128,'Talnagögn | Numerical Data'!$B:$B), _xlfn.XMATCH($B$2,'Talnagögn | Numerical Data'!$1:$1))</f>
        <v>-434.84016366043033</v>
      </c>
      <c r="K128" s="267" cm="1">
        <f t="array" ref="K128">INDEX('Talnagögn | Numerical Data'!$1:$1048576, _xlfn.XMATCH($A128,'Talnagögn | Numerical Data'!$B:$B), _xlfn.XMATCH($A$1,'Talnagögn | Numerical Data'!$1:$1))/INDEX('Talnagögn | Numerical Data'!$1:$1048576, _xlfn.XMATCH($A128,'Talnagögn | Numerical Data'!$B:$B), _xlfn.XMATCH($B$2,'Talnagögn | Numerical Data'!$1:$1))-1</f>
        <v>-0.13468395692174662</v>
      </c>
      <c r="L128" s="21"/>
      <c r="M128" s="265" t="s">
        <v>335</v>
      </c>
      <c r="N128" s="266" cm="1">
        <f t="array" ref="N128">INDEX('Talnagögn | Numerical Data'!$1:$1048576, _xlfn.XMATCH($B128,'Talnagögn | Numerical Data'!$C:$C), _xlfn.XMATCH($B$4,'Talnagögn | Numerical Data'!$1:$1))-INDEX('Talnagögn | Numerical Data'!$1:$1048576, _xlfn.XMATCH($A128,'Talnagögn | Numerical Data'!$C:$C), _xlfn.XMATCH($B$2,'Talnagögn | Numerical Data'!$1:$1))</f>
        <v>-766.94915275307358</v>
      </c>
      <c r="O128" s="267" cm="1">
        <f t="array" ref="O128">INDEX('Talnagögn | Numerical Data'!$1:$1048576, _xlfn.XMATCH($B128,'Talnagögn | Numerical Data'!$C:$C), _xlfn.XMATCH($B$4,'Talnagögn | Numerical Data'!$1:$1))/INDEX('Talnagögn | Numerical Data'!$1:$1048576, _xlfn.XMATCH($A128,'Talnagögn | Numerical Data'!$C:$C), _xlfn.XMATCH($B$2,'Talnagögn | Numerical Data'!$1:$1))-1</f>
        <v>-0.23754877144060083</v>
      </c>
      <c r="P128" s="109"/>
      <c r="Q128" s="109"/>
      <c r="R128" s="109"/>
      <c r="S128" s="126"/>
      <c r="U128" s="265" t="s">
        <v>217</v>
      </c>
      <c r="V128" s="266" cm="1">
        <f t="array" ref="V128">INDEX('Talnagögn | Numerical Data'!$1:$1048576, _xlfn.XMATCH($A128,'Talnagögn | Numerical Data'!$B:$B), _xlfn.XMATCH($A$1,'Talnagögn | Numerical Data'!$1:$1))</f>
        <v>2793.7564234823058</v>
      </c>
      <c r="W128" s="274">
        <f>SUM(W120:W127)</f>
        <v>1.0000000000000002</v>
      </c>
      <c r="X128" s="266" cm="1">
        <f t="array" ref="X128">INDEX('Talnagögn | Numerical Data'!$1:$1048576, _xlfn.XMATCH($A128,'Talnagögn | Numerical Data'!$B:$B), _xlfn.XMATCH($A$1,'Talnagögn | Numerical Data'!$1:$1))-INDEX('Talnagögn | Numerical Data'!$1:$1048576, _xlfn.XMATCH($A128,'Talnagögn | Numerical Data'!$B:$B), _xlfn.XMATCH($B$3,'Talnagögn | Numerical Data'!$1:$1))</f>
        <v>-78.841420649625434</v>
      </c>
      <c r="Y128" s="280" cm="1">
        <f t="array" ref="Y128">INDEX('Talnagögn | Numerical Data'!$1:$1048576, _xlfn.XMATCH($A128,'Talnagögn | Numerical Data'!$B:$B), _xlfn.XMATCH($A$1,'Talnagögn | Numerical Data'!$1:$1))/INDEX('Talnagögn | Numerical Data'!$1:$1048576, _xlfn.XMATCH($A128,'Talnagögn | Numerical Data'!$B:$B), _xlfn.XMATCH($B$3,'Talnagögn | Numerical Data'!$1:$1))-1</f>
        <v>-2.7446034888134685E-2</v>
      </c>
      <c r="Z128" s="266" cm="1">
        <f t="array" ref="Z128">INDEX('Talnagögn | Numerical Data'!$1:$1048576, _xlfn.XMATCH($A128,'Talnagögn | Numerical Data'!$B:$B), _xlfn.XMATCH($A$1,'Talnagögn | Numerical Data'!$1:$1))-INDEX('Talnagögn | Numerical Data'!$1:$1048576, _xlfn.XMATCH($A128,'Talnagögn | Numerical Data'!$B:$B), _xlfn.XMATCH($B$2,'Talnagögn | Numerical Data'!$1:$1))</f>
        <v>-434.84016366043033</v>
      </c>
      <c r="AA128" s="267" cm="1">
        <f t="array" ref="AA128">INDEX('Talnagögn | Numerical Data'!$1:$1048576, _xlfn.XMATCH($A128,'Talnagögn | Numerical Data'!$B:$B), _xlfn.XMATCH($A$1,'Talnagögn | Numerical Data'!$1:$1))/INDEX('Talnagögn | Numerical Data'!$1:$1048576, _xlfn.XMATCH($A128,'Talnagögn | Numerical Data'!$B:$B), _xlfn.XMATCH($B$2,'Talnagögn | Numerical Data'!$1:$1))-1</f>
        <v>-0.13468395692174662</v>
      </c>
      <c r="AB128" s="21"/>
      <c r="AC128" s="265" t="s">
        <v>217</v>
      </c>
      <c r="AD128" s="266" cm="1">
        <f t="array" ref="AD128">INDEX('Talnagögn | Numerical Data'!$1:$1048576, _xlfn.XMATCH($B128,'Talnagögn | Numerical Data'!$C:$C), _xlfn.XMATCH($B$4,'Talnagögn | Numerical Data'!$1:$1))-INDEX('Talnagögn | Numerical Data'!$1:$1048576, _xlfn.XMATCH($A128,'Talnagögn | Numerical Data'!$C:$C), _xlfn.XMATCH($B$2,'Talnagögn | Numerical Data'!$1:$1))</f>
        <v>-766.94915275307358</v>
      </c>
      <c r="AE128" s="267" cm="1">
        <f t="array" ref="AE128">INDEX('Talnagögn | Numerical Data'!$1:$1048576, _xlfn.XMATCH($B128,'Talnagögn | Numerical Data'!$C:$C), _xlfn.XMATCH($B$4,'Talnagögn | Numerical Data'!$1:$1))/INDEX('Talnagögn | Numerical Data'!$1:$1048576, _xlfn.XMATCH($A128,'Talnagögn | Numerical Data'!$C:$C), _xlfn.XMATCH($B$2,'Talnagögn | Numerical Data'!$1:$1))-1</f>
        <v>-0.23754877144060083</v>
      </c>
    </row>
    <row r="129" spans="1:31" s="5" customFormat="1" ht="30" customHeight="1" x14ac:dyDescent="0.4">
      <c r="A129" s="88" t="s">
        <v>83</v>
      </c>
      <c r="B129" s="27" t="s">
        <v>44</v>
      </c>
      <c r="C129" s="88"/>
      <c r="D129" s="20" t="s">
        <v>44</v>
      </c>
      <c r="E129" s="268" t="s">
        <v>336</v>
      </c>
      <c r="F129" s="263" t="s">
        <v>184</v>
      </c>
      <c r="G129" s="283" t="s">
        <v>184</v>
      </c>
      <c r="H129" s="263" t="s">
        <v>184</v>
      </c>
      <c r="I129" s="283" t="s">
        <v>184</v>
      </c>
      <c r="J129" s="269" cm="1">
        <f t="array" ref="J129">INDEX('Talnagögn | Numerical Data'!$1:$1048576, _xlfn.XMATCH($A128,'Talnagögn | Numerical Data'!$B:$B), _xlfn.XMATCH($A$1,'Talnagögn | Numerical Data'!$1:$1))-INDEX('Talnagögn | Numerical Data'!$1:$1048576, _xlfn.XMATCH($A129,'Talnagögn | Numerical Data'!$B:$B), _xlfn.XMATCH($B$2,'Talnagögn | Numerical Data'!$1:$1))</f>
        <v>-315.57257651769442</v>
      </c>
      <c r="K129" s="275" cm="1">
        <f t="array" ref="K129">INDEX('Talnagögn | Numerical Data'!$1:$1048576, _xlfn.XMATCH($A128,'Talnagögn | Numerical Data'!$B:$B), _xlfn.XMATCH($A$1,'Talnagögn | Numerical Data'!$1:$1))/INDEX('Talnagögn | Numerical Data'!$1:$1048576, _xlfn.XMATCH($A129,'Talnagögn | Numerical Data'!$B:$B), _xlfn.XMATCH($B$2,'Talnagögn | Numerical Data'!$1:$1))-1</f>
        <v>-0.10149217934727861</v>
      </c>
      <c r="L129" s="21"/>
      <c r="M129" s="268" t="s">
        <v>336</v>
      </c>
      <c r="N129" s="269" cm="1">
        <f t="array" ref="N129">INDEX('Talnagögn | Numerical Data'!$1:$1048576, _xlfn.XMATCH($B128,'Talnagögn | Numerical Data'!$C:$C), _xlfn.XMATCH($B$4,'Talnagögn | Numerical Data'!$1:$1))-INDEX('Talnagögn | Numerical Data'!$1:$1048576, _xlfn.XMATCH($A129,'Talnagögn | Numerical Data'!$C:$C), _xlfn.XMATCH($B$2,'Talnagögn | Numerical Data'!$1:$1))</f>
        <v>-647.68156561033766</v>
      </c>
      <c r="O129" s="275" cm="1">
        <f t="array" ref="O129">INDEX('Talnagögn | Numerical Data'!$1:$1048576, _xlfn.XMATCH($B128,'Talnagögn | Numerical Data'!$C:$C), _xlfn.XMATCH($B$4,'Talnagögn | Numerical Data'!$1:$1))/INDEX('Talnagögn | Numerical Data'!$1:$1048576, _xlfn.XMATCH($A129,'Talnagögn | Numerical Data'!$C:$C), _xlfn.XMATCH($B$2,'Talnagögn | Numerical Data'!$1:$1))-1</f>
        <v>-0.20830268061383583</v>
      </c>
      <c r="P129" s="109"/>
      <c r="Q129" s="109"/>
      <c r="R129" s="109"/>
      <c r="S129" s="126"/>
      <c r="U129" s="268" t="s">
        <v>218</v>
      </c>
      <c r="V129" s="263" t="s">
        <v>184</v>
      </c>
      <c r="W129" s="283" t="s">
        <v>184</v>
      </c>
      <c r="X129" s="263" t="s">
        <v>184</v>
      </c>
      <c r="Y129" s="283" t="s">
        <v>184</v>
      </c>
      <c r="Z129" s="269" cm="1">
        <f t="array" ref="Z129">INDEX('Talnagögn | Numerical Data'!$1:$1048576, _xlfn.XMATCH($A128,'Talnagögn | Numerical Data'!$B:$B), _xlfn.XMATCH($A$1,'Talnagögn | Numerical Data'!$1:$1))-INDEX('Talnagögn | Numerical Data'!$1:$1048576, _xlfn.XMATCH($A129,'Talnagögn | Numerical Data'!$B:$B), _xlfn.XMATCH($B$2,'Talnagögn | Numerical Data'!$1:$1))</f>
        <v>-315.57257651769442</v>
      </c>
      <c r="AA129" s="958" cm="1">
        <f t="array" ref="AA129">INDEX('Talnagögn | Numerical Data'!$1:$1048576, _xlfn.XMATCH($A128,'Talnagögn | Numerical Data'!$B:$B), _xlfn.XMATCH($A$1,'Talnagögn | Numerical Data'!$1:$1))/INDEX('Talnagögn | Numerical Data'!$1:$1048576, _xlfn.XMATCH($A129,'Talnagögn | Numerical Data'!$B:$B), _xlfn.XMATCH($B$2,'Talnagögn | Numerical Data'!$1:$1))-1</f>
        <v>-0.10149217934727861</v>
      </c>
      <c r="AB129" s="21"/>
      <c r="AC129" s="268" t="s">
        <v>218</v>
      </c>
      <c r="AD129" s="269" cm="1">
        <f t="array" ref="AD129">INDEX('Talnagögn | Numerical Data'!$1:$1048576, _xlfn.XMATCH($B128,'Talnagögn | Numerical Data'!$C:$C), _xlfn.XMATCH($B$4,'Talnagögn | Numerical Data'!$1:$1))-INDEX('Talnagögn | Numerical Data'!$1:$1048576, _xlfn.XMATCH($A129,'Talnagögn | Numerical Data'!$C:$C), _xlfn.XMATCH($B$2,'Talnagögn | Numerical Data'!$1:$1))</f>
        <v>-647.68156561033766</v>
      </c>
      <c r="AE129" s="275" cm="1">
        <f t="array" ref="AE129">INDEX('Talnagögn | Numerical Data'!$1:$1048576, _xlfn.XMATCH($B128,'Talnagögn | Numerical Data'!$C:$C), _xlfn.XMATCH($B$4,'Talnagögn | Numerical Data'!$1:$1))/INDEX('Talnagögn | Numerical Data'!$1:$1048576, _xlfn.XMATCH($A129,'Talnagögn | Numerical Data'!$C:$C), _xlfn.XMATCH($B$2,'Talnagögn | Numerical Data'!$1:$1))-1</f>
        <v>-0.20830268061383583</v>
      </c>
    </row>
    <row r="130" spans="1:31" x14ac:dyDescent="0.4">
      <c r="A130" s="632" t="str">
        <f>"Samfélagslosun Íslands "&amp;
$A$1</f>
        <v>Samfélagslosun Íslands 2025</v>
      </c>
      <c r="B130" s="632" t="str">
        <f>"Iceland's ESR Emissions "&amp;$A$1</f>
        <v>Iceland's ESR Emissions 2025</v>
      </c>
      <c r="D130" s="20" t="s">
        <v>44</v>
      </c>
      <c r="E130" s="113" t="s">
        <v>219</v>
      </c>
      <c r="F130" s="116"/>
      <c r="G130" s="62"/>
      <c r="H130" s="5"/>
      <c r="I130" s="104"/>
      <c r="J130" s="104"/>
      <c r="K130" s="108"/>
      <c r="L130" s="108"/>
      <c r="M130" s="108"/>
      <c r="N130" s="109"/>
      <c r="O130" s="109"/>
      <c r="P130" s="109"/>
      <c r="Q130" s="108"/>
      <c r="R130" s="109"/>
      <c r="S130" s="110"/>
      <c r="T130" s="111"/>
      <c r="U130" s="113" t="s">
        <v>474</v>
      </c>
      <c r="AB130" s="112"/>
    </row>
    <row r="131" spans="1:31" x14ac:dyDescent="0.4">
      <c r="B131" s="88"/>
      <c r="S131" s="103"/>
    </row>
    <row r="132" spans="1:31" x14ac:dyDescent="0.4">
      <c r="B132" s="88"/>
      <c r="S132" s="103"/>
    </row>
    <row r="133" spans="1:31" x14ac:dyDescent="0.4">
      <c r="B133" s="169"/>
      <c r="S133" s="103"/>
    </row>
    <row r="134" spans="1:31" x14ac:dyDescent="0.4">
      <c r="B134" s="7"/>
      <c r="S134" s="103"/>
    </row>
    <row r="135" spans="1:31" x14ac:dyDescent="0.4">
      <c r="B135" s="88"/>
      <c r="S135" s="103"/>
    </row>
    <row r="136" spans="1:31" x14ac:dyDescent="0.4">
      <c r="B136" s="88"/>
      <c r="S136" s="103"/>
    </row>
    <row r="137" spans="1:31" x14ac:dyDescent="0.4">
      <c r="B137" s="88"/>
      <c r="S137" s="103"/>
    </row>
    <row r="138" spans="1:31" x14ac:dyDescent="0.4">
      <c r="B138" s="88"/>
      <c r="S138" s="103"/>
    </row>
    <row r="139" spans="1:31" x14ac:dyDescent="0.4">
      <c r="B139" s="88"/>
      <c r="S139" s="103"/>
    </row>
    <row r="140" spans="1:31" x14ac:dyDescent="0.4">
      <c r="S140" s="103"/>
    </row>
    <row r="141" spans="1:31" x14ac:dyDescent="0.4">
      <c r="S141" s="103"/>
    </row>
    <row r="142" spans="1:31" x14ac:dyDescent="0.4">
      <c r="S142" s="103"/>
    </row>
    <row r="143" spans="1:31" x14ac:dyDescent="0.4">
      <c r="S143" s="103"/>
    </row>
    <row r="144" spans="1:31" x14ac:dyDescent="0.4">
      <c r="S144" s="103"/>
    </row>
    <row r="145" spans="1:30" x14ac:dyDescent="0.4">
      <c r="S145" s="103"/>
    </row>
    <row r="146" spans="1:30" x14ac:dyDescent="0.4">
      <c r="S146" s="103"/>
    </row>
    <row r="147" spans="1:30" x14ac:dyDescent="0.4">
      <c r="S147" s="103"/>
    </row>
    <row r="148" spans="1:30" x14ac:dyDescent="0.4">
      <c r="S148" s="103"/>
    </row>
    <row r="149" spans="1:30" x14ac:dyDescent="0.4">
      <c r="S149" s="103"/>
    </row>
    <row r="150" spans="1:30" x14ac:dyDescent="0.4">
      <c r="S150" s="103"/>
    </row>
    <row r="151" spans="1:30" x14ac:dyDescent="0.4">
      <c r="S151" s="103"/>
    </row>
    <row r="152" spans="1:30" x14ac:dyDescent="0.4">
      <c r="S152" s="103"/>
    </row>
    <row r="153" spans="1:30" x14ac:dyDescent="0.4">
      <c r="S153" s="103"/>
    </row>
    <row r="154" spans="1:30" s="316" customFormat="1" ht="27" customHeight="1" x14ac:dyDescent="0.4">
      <c r="A154" s="642"/>
      <c r="B154" s="642"/>
      <c r="C154" s="642"/>
      <c r="E154" s="724" t="str">
        <f>UPPER('Talnagögn | Numerical Data'!$E$5)</f>
        <v>SÖGULEG LOSUN</v>
      </c>
      <c r="S154" s="317"/>
      <c r="U154" s="724" t="str">
        <f>UPPER('Talnagögn | Numerical Data'!$G$5)</f>
        <v>HISTORICAL EMISSIONS</v>
      </c>
      <c r="V154" s="318"/>
      <c r="X154" s="318"/>
      <c r="Z154" s="318"/>
      <c r="AD154" s="318"/>
    </row>
    <row r="155" spans="1:30" x14ac:dyDescent="0.4">
      <c r="S155" s="103"/>
    </row>
    <row r="156" spans="1:30" x14ac:dyDescent="0.4">
      <c r="S156" s="103"/>
    </row>
    <row r="157" spans="1:30" x14ac:dyDescent="0.4">
      <c r="S157" s="103"/>
    </row>
    <row r="158" spans="1:30" x14ac:dyDescent="0.4">
      <c r="S158" s="103"/>
    </row>
    <row r="159" spans="1:30" x14ac:dyDescent="0.4">
      <c r="S159" s="103"/>
    </row>
    <row r="160" spans="1:30" x14ac:dyDescent="0.4">
      <c r="S160" s="103"/>
    </row>
    <row r="161" spans="19:19" x14ac:dyDescent="0.4">
      <c r="S161" s="103"/>
    </row>
    <row r="162" spans="19:19" x14ac:dyDescent="0.4">
      <c r="S162" s="103"/>
    </row>
    <row r="163" spans="19:19" x14ac:dyDescent="0.4">
      <c r="S163" s="103"/>
    </row>
    <row r="164" spans="19:19" x14ac:dyDescent="0.4">
      <c r="S164" s="103"/>
    </row>
    <row r="165" spans="19:19" x14ac:dyDescent="0.4">
      <c r="S165" s="103"/>
    </row>
    <row r="166" spans="19:19" x14ac:dyDescent="0.4">
      <c r="S166" s="103"/>
    </row>
    <row r="167" spans="19:19" x14ac:dyDescent="0.4">
      <c r="S167" s="103"/>
    </row>
    <row r="168" spans="19:19" x14ac:dyDescent="0.4">
      <c r="S168" s="103"/>
    </row>
    <row r="169" spans="19:19" x14ac:dyDescent="0.4">
      <c r="S169" s="103"/>
    </row>
    <row r="170" spans="19:19" x14ac:dyDescent="0.4">
      <c r="S170" s="103"/>
    </row>
    <row r="171" spans="19:19" x14ac:dyDescent="0.4">
      <c r="S171" s="103"/>
    </row>
    <row r="172" spans="19:19" x14ac:dyDescent="0.4">
      <c r="S172" s="103"/>
    </row>
    <row r="173" spans="19:19" x14ac:dyDescent="0.4">
      <c r="S173" s="103"/>
    </row>
    <row r="174" spans="19:19" x14ac:dyDescent="0.4">
      <c r="S174" s="103"/>
    </row>
    <row r="175" spans="19:19" x14ac:dyDescent="0.4">
      <c r="S175" s="103"/>
    </row>
    <row r="176" spans="19:19" x14ac:dyDescent="0.4">
      <c r="S176" s="103"/>
    </row>
    <row r="177" spans="19:19" x14ac:dyDescent="0.4">
      <c r="S177" s="103"/>
    </row>
    <row r="178" spans="19:19" x14ac:dyDescent="0.4">
      <c r="S178" s="103"/>
    </row>
    <row r="179" spans="19:19" x14ac:dyDescent="0.4">
      <c r="S179" s="103"/>
    </row>
    <row r="180" spans="19:19" x14ac:dyDescent="0.4">
      <c r="S180" s="103"/>
    </row>
    <row r="181" spans="19:19" x14ac:dyDescent="0.4">
      <c r="S181" s="103"/>
    </row>
    <row r="182" spans="19:19" x14ac:dyDescent="0.4">
      <c r="S182" s="103"/>
    </row>
    <row r="183" spans="19:19" x14ac:dyDescent="0.4">
      <c r="S183" s="103"/>
    </row>
    <row r="184" spans="19:19" x14ac:dyDescent="0.4">
      <c r="S184" s="103"/>
    </row>
    <row r="185" spans="19:19" x14ac:dyDescent="0.4">
      <c r="S185" s="103"/>
    </row>
    <row r="186" spans="19:19" x14ac:dyDescent="0.4">
      <c r="S186" s="103"/>
    </row>
    <row r="187" spans="19:19" x14ac:dyDescent="0.4">
      <c r="S187" s="103"/>
    </row>
    <row r="188" spans="19:19" x14ac:dyDescent="0.4">
      <c r="S188" s="103"/>
    </row>
    <row r="189" spans="19:19" x14ac:dyDescent="0.4">
      <c r="S189" s="103"/>
    </row>
    <row r="190" spans="19:19" x14ac:dyDescent="0.4">
      <c r="S190" s="103"/>
    </row>
    <row r="191" spans="19:19" x14ac:dyDescent="0.4">
      <c r="S191" s="103"/>
    </row>
    <row r="192" spans="19:19" x14ac:dyDescent="0.4">
      <c r="S192" s="103"/>
    </row>
    <row r="193" spans="1:30" x14ac:dyDescent="0.4">
      <c r="S193" s="103"/>
    </row>
    <row r="194" spans="1:30" x14ac:dyDescent="0.4">
      <c r="S194" s="103"/>
    </row>
    <row r="195" spans="1:30" x14ac:dyDescent="0.4">
      <c r="S195" s="103"/>
    </row>
    <row r="196" spans="1:30" x14ac:dyDescent="0.4">
      <c r="S196" s="103"/>
    </row>
    <row r="197" spans="1:30" x14ac:dyDescent="0.4">
      <c r="S197" s="103"/>
    </row>
    <row r="198" spans="1:30" x14ac:dyDescent="0.4">
      <c r="S198" s="103"/>
    </row>
    <row r="199" spans="1:30" s="316" customFormat="1" ht="27" customHeight="1" x14ac:dyDescent="0.4">
      <c r="A199" s="642"/>
      <c r="B199" s="642"/>
      <c r="C199" s="642"/>
      <c r="E199" s="724" t="str">
        <f>$E$66</f>
        <v>LOSUNARSPÁ: SVIÐSMYND BYGGÐ Á AÐGERÐUM STJÓRNVALDA</v>
      </c>
      <c r="S199" s="317"/>
      <c r="U199" s="724" t="str">
        <f>$U$66</f>
        <v>EMISSION PROJECTIONS: GOVERNMENT POLICY-BASED SCENARIO</v>
      </c>
      <c r="V199" s="318"/>
      <c r="X199" s="318"/>
      <c r="Z199" s="318"/>
      <c r="AD199" s="318"/>
    </row>
    <row r="200" spans="1:30" x14ac:dyDescent="0.4">
      <c r="S200" s="103"/>
    </row>
    <row r="201" spans="1:30" x14ac:dyDescent="0.4">
      <c r="S201" s="103"/>
    </row>
    <row r="202" spans="1:30" x14ac:dyDescent="0.4">
      <c r="S202" s="103"/>
    </row>
    <row r="203" spans="1:30" x14ac:dyDescent="0.4">
      <c r="S203" s="103"/>
    </row>
    <row r="204" spans="1:30" x14ac:dyDescent="0.4">
      <c r="S204" s="103"/>
    </row>
    <row r="205" spans="1:30" x14ac:dyDescent="0.4">
      <c r="S205" s="103"/>
    </row>
    <row r="206" spans="1:30" x14ac:dyDescent="0.4">
      <c r="S206" s="103"/>
    </row>
    <row r="207" spans="1:30" x14ac:dyDescent="0.4">
      <c r="S207" s="103"/>
    </row>
    <row r="208" spans="1:30" x14ac:dyDescent="0.4">
      <c r="S208" s="103"/>
    </row>
    <row r="209" spans="19:19" x14ac:dyDescent="0.4">
      <c r="S209" s="103"/>
    </row>
    <row r="210" spans="19:19" x14ac:dyDescent="0.4">
      <c r="S210" s="103"/>
    </row>
    <row r="211" spans="19:19" x14ac:dyDescent="0.4">
      <c r="S211" s="103"/>
    </row>
    <row r="212" spans="19:19" x14ac:dyDescent="0.4">
      <c r="S212" s="103"/>
    </row>
    <row r="213" spans="19:19" x14ac:dyDescent="0.4">
      <c r="S213" s="103"/>
    </row>
    <row r="214" spans="19:19" x14ac:dyDescent="0.4">
      <c r="S214" s="103"/>
    </row>
    <row r="215" spans="19:19" x14ac:dyDescent="0.4">
      <c r="S215" s="103"/>
    </row>
    <row r="216" spans="19:19" x14ac:dyDescent="0.4">
      <c r="S216" s="103"/>
    </row>
    <row r="217" spans="19:19" x14ac:dyDescent="0.4">
      <c r="S217" s="103"/>
    </row>
    <row r="218" spans="19:19" x14ac:dyDescent="0.4">
      <c r="S218" s="103"/>
    </row>
    <row r="219" spans="19:19" x14ac:dyDescent="0.4">
      <c r="S219" s="103"/>
    </row>
    <row r="220" spans="19:19" x14ac:dyDescent="0.4">
      <c r="S220" s="103"/>
    </row>
    <row r="221" spans="19:19" x14ac:dyDescent="0.4">
      <c r="S221" s="103"/>
    </row>
    <row r="222" spans="19:19" x14ac:dyDescent="0.4">
      <c r="S222" s="103"/>
    </row>
    <row r="223" spans="19:19" x14ac:dyDescent="0.4">
      <c r="S223" s="103"/>
    </row>
    <row r="224" spans="19:19" x14ac:dyDescent="0.4">
      <c r="S224" s="103"/>
    </row>
    <row r="225" spans="19:19" x14ac:dyDescent="0.4">
      <c r="S225" s="103"/>
    </row>
    <row r="226" spans="19:19" x14ac:dyDescent="0.4">
      <c r="S226" s="103"/>
    </row>
    <row r="227" spans="19:19" x14ac:dyDescent="0.4">
      <c r="S227" s="103"/>
    </row>
    <row r="228" spans="19:19" x14ac:dyDescent="0.4">
      <c r="S228" s="103"/>
    </row>
    <row r="229" spans="19:19" x14ac:dyDescent="0.4">
      <c r="S229" s="103"/>
    </row>
    <row r="230" spans="19:19" x14ac:dyDescent="0.4">
      <c r="S230" s="103"/>
    </row>
    <row r="231" spans="19:19" x14ac:dyDescent="0.4">
      <c r="S231" s="103"/>
    </row>
    <row r="232" spans="19:19" x14ac:dyDescent="0.4">
      <c r="S232" s="103"/>
    </row>
    <row r="233" spans="19:19" x14ac:dyDescent="0.4">
      <c r="S233" s="103"/>
    </row>
    <row r="234" spans="19:19" x14ac:dyDescent="0.4">
      <c r="S234" s="103"/>
    </row>
    <row r="235" spans="19:19" x14ac:dyDescent="0.4">
      <c r="S235" s="103"/>
    </row>
    <row r="236" spans="19:19" x14ac:dyDescent="0.4">
      <c r="S236" s="103"/>
    </row>
    <row r="237" spans="19:19" x14ac:dyDescent="0.4">
      <c r="S237" s="103"/>
    </row>
    <row r="238" spans="19:19" x14ac:dyDescent="0.4">
      <c r="S238" s="103"/>
    </row>
    <row r="239" spans="19:19" x14ac:dyDescent="0.4">
      <c r="S239" s="103"/>
    </row>
    <row r="240" spans="19:19" x14ac:dyDescent="0.4">
      <c r="S240" s="103"/>
    </row>
    <row r="241" spans="1:30" x14ac:dyDescent="0.4">
      <c r="S241" s="103"/>
    </row>
    <row r="242" spans="1:30" x14ac:dyDescent="0.4">
      <c r="S242" s="103"/>
    </row>
    <row r="243" spans="1:30" x14ac:dyDescent="0.4">
      <c r="S243" s="103"/>
    </row>
    <row r="244" spans="1:30" s="724" customFormat="1" ht="27" customHeight="1" x14ac:dyDescent="0.4">
      <c r="A244" s="725"/>
      <c r="B244" s="725"/>
      <c r="C244" s="725"/>
      <c r="E244" s="724" t="s">
        <v>95</v>
      </c>
      <c r="S244" s="726"/>
      <c r="U244" s="724" t="s">
        <v>148</v>
      </c>
      <c r="V244" s="727"/>
      <c r="X244" s="727"/>
      <c r="Z244" s="727"/>
      <c r="AD244" s="727"/>
    </row>
    <row r="245" spans="1:30" x14ac:dyDescent="0.4">
      <c r="S245" s="103"/>
    </row>
    <row r="246" spans="1:30" x14ac:dyDescent="0.4">
      <c r="K246" s="615"/>
      <c r="S246" s="103"/>
    </row>
    <row r="247" spans="1:30" x14ac:dyDescent="0.4">
      <c r="S247" s="103"/>
    </row>
    <row r="248" spans="1:30" x14ac:dyDescent="0.4">
      <c r="S248" s="103"/>
    </row>
    <row r="249" spans="1:30" x14ac:dyDescent="0.4">
      <c r="S249" s="103"/>
    </row>
    <row r="250" spans="1:30" x14ac:dyDescent="0.4">
      <c r="S250" s="103"/>
    </row>
    <row r="251" spans="1:30" x14ac:dyDescent="0.4">
      <c r="S251" s="103"/>
    </row>
    <row r="252" spans="1:30" x14ac:dyDescent="0.4">
      <c r="S252" s="103"/>
    </row>
    <row r="253" spans="1:30" x14ac:dyDescent="0.4">
      <c r="S253" s="103"/>
    </row>
    <row r="254" spans="1:30" x14ac:dyDescent="0.4">
      <c r="S254" s="103"/>
    </row>
    <row r="255" spans="1:30" x14ac:dyDescent="0.4">
      <c r="S255" s="103"/>
    </row>
    <row r="256" spans="1:30" x14ac:dyDescent="0.4">
      <c r="S256" s="103"/>
    </row>
    <row r="257" spans="1:30" x14ac:dyDescent="0.4">
      <c r="S257" s="103"/>
    </row>
    <row r="258" spans="1:30" x14ac:dyDescent="0.4">
      <c r="S258" s="103"/>
    </row>
    <row r="259" spans="1:30" x14ac:dyDescent="0.4">
      <c r="S259" s="103"/>
    </row>
    <row r="260" spans="1:30" x14ac:dyDescent="0.4">
      <c r="S260" s="103"/>
    </row>
    <row r="261" spans="1:30" x14ac:dyDescent="0.4">
      <c r="S261" s="103"/>
    </row>
    <row r="262" spans="1:30" x14ac:dyDescent="0.4">
      <c r="S262" s="103"/>
    </row>
    <row r="263" spans="1:30" x14ac:dyDescent="0.4">
      <c r="S263" s="103"/>
    </row>
    <row r="264" spans="1:30" x14ac:dyDescent="0.4">
      <c r="S264" s="103"/>
    </row>
    <row r="265" spans="1:30" x14ac:dyDescent="0.4">
      <c r="S265" s="103"/>
    </row>
    <row r="266" spans="1:30" x14ac:dyDescent="0.4">
      <c r="E266" s="113"/>
      <c r="S266" s="103"/>
      <c r="U266" s="128"/>
    </row>
    <row r="267" spans="1:30" x14ac:dyDescent="0.4">
      <c r="K267" s="1326"/>
      <c r="L267" s="1326"/>
      <c r="M267" s="1326"/>
      <c r="S267" s="103"/>
    </row>
    <row r="268" spans="1:30" x14ac:dyDescent="0.4">
      <c r="K268" s="1326"/>
      <c r="L268" s="1326"/>
      <c r="M268" s="1326"/>
      <c r="S268" s="103"/>
    </row>
    <row r="269" spans="1:30" x14ac:dyDescent="0.4">
      <c r="K269" s="1326"/>
      <c r="L269" s="1326"/>
      <c r="M269" s="1326"/>
      <c r="S269" s="103"/>
    </row>
    <row r="270" spans="1:30" x14ac:dyDescent="0.4">
      <c r="K270" s="1326"/>
      <c r="L270" s="1326"/>
      <c r="M270" s="1326"/>
      <c r="S270" s="103"/>
    </row>
    <row r="271" spans="1:30" s="284" customFormat="1" ht="83.25" customHeight="1" x14ac:dyDescent="0.4">
      <c r="A271" s="643"/>
      <c r="B271" s="643"/>
      <c r="C271" s="643"/>
      <c r="E271" s="673" t="s">
        <v>324</v>
      </c>
      <c r="S271" s="285"/>
      <c r="U271" s="673" t="s">
        <v>150</v>
      </c>
      <c r="V271" s="286"/>
      <c r="X271" s="286"/>
      <c r="Z271" s="286"/>
      <c r="AD271" s="286"/>
    </row>
    <row r="272" spans="1:30" x14ac:dyDescent="0.4">
      <c r="S272" s="103"/>
    </row>
    <row r="273" spans="1:31" ht="45" customHeight="1" x14ac:dyDescent="0.4">
      <c r="E273" s="1375" t="str">
        <f>"STAÐAN ÁRIÐ "&amp;$A$1</f>
        <v>STAÐAN ÁRIÐ 2025</v>
      </c>
      <c r="F273" s="1350"/>
      <c r="G273" s="1351"/>
      <c r="H273" s="1351"/>
      <c r="I273" s="1351"/>
      <c r="J273" s="1351"/>
      <c r="K273" s="1351"/>
      <c r="M273" s="1375" t="str">
        <f>$M$5</f>
        <v>FRAMTÍÐARHORFUR</v>
      </c>
      <c r="N273" s="1366" t="str">
        <f>$N$5</f>
        <v>Áætluð breyting í losun milli 2005 og 2030</v>
      </c>
      <c r="O273" s="1367"/>
      <c r="S273" s="103"/>
      <c r="U273" s="1375" t="str">
        <f>$A$1&amp;" EMISSIONS"</f>
        <v>2025 EMISSIONS</v>
      </c>
      <c r="V273" s="1350"/>
      <c r="W273" s="1351"/>
      <c r="X273" s="1351"/>
      <c r="Y273" s="1351"/>
      <c r="Z273" s="1351"/>
      <c r="AA273" s="1352"/>
      <c r="AC273" s="1375" t="s">
        <v>334</v>
      </c>
      <c r="AD273" s="1366" t="str">
        <f>$AD$5</f>
        <v>Estimated change in emissions between 2005 and 2030</v>
      </c>
      <c r="AE273" s="1367"/>
    </row>
    <row r="274" spans="1:31" ht="16.95" customHeight="1" x14ac:dyDescent="0.4">
      <c r="E274" s="1375"/>
      <c r="F274" s="1362" t="str">
        <f>$F$6</f>
        <v>Losun 2025</v>
      </c>
      <c r="G274" s="1368"/>
      <c r="H274" s="1381" t="str">
        <f>$H$6</f>
        <v>Breyting frá 2024</v>
      </c>
      <c r="I274" s="1368"/>
      <c r="J274" s="1381" t="str">
        <f>$J$6</f>
        <v>Breyting frá 2005</v>
      </c>
      <c r="K274" s="1382"/>
      <c r="M274" s="1375"/>
      <c r="N274" s="1379" t="str">
        <f>$N$6</f>
        <v>Losunarspá: Sviðsmynd byggð á aðgerðum stjórnvalda</v>
      </c>
      <c r="O274" s="1380"/>
      <c r="S274" s="103"/>
      <c r="U274" s="1375"/>
      <c r="V274" s="1362" t="str">
        <f>$V$6</f>
        <v>Emissions in 2025</v>
      </c>
      <c r="W274" s="1363"/>
      <c r="X274" s="1364" t="str">
        <f>$X$6</f>
        <v>Change from 2024</v>
      </c>
      <c r="Y274" s="1363"/>
      <c r="Z274" s="1364" t="str">
        <f>$Z$6</f>
        <v>Change from 2005</v>
      </c>
      <c r="AA274" s="1365"/>
      <c r="AC274" s="1375"/>
      <c r="AD274" s="1353" t="str">
        <f>$AD$6</f>
        <v>Emission Projections: Government Policy-Based Scenario</v>
      </c>
      <c r="AE274" s="1354"/>
    </row>
    <row r="275" spans="1:31" ht="24.6" customHeight="1" thickBot="1" x14ac:dyDescent="0.45">
      <c r="E275" s="1376"/>
      <c r="F275" s="287" t="str">
        <f>$F$7</f>
        <v>Þús. tonn CO₂-íg.</v>
      </c>
      <c r="G275" s="299" t="s">
        <v>4</v>
      </c>
      <c r="H275" s="287" t="str">
        <f>$F$7</f>
        <v>Þús. tonn CO₂-íg.</v>
      </c>
      <c r="I275" s="299" t="s">
        <v>4</v>
      </c>
      <c r="J275" s="287" t="str">
        <f>$F$7</f>
        <v>Þús. tonn CO₂-íg.</v>
      </c>
      <c r="K275" s="287" t="s">
        <v>4</v>
      </c>
      <c r="M275" s="1376"/>
      <c r="N275" s="287" t="str">
        <f>$F$7</f>
        <v>Þús. tonn CO₂-íg.</v>
      </c>
      <c r="O275" s="287" t="s">
        <v>4</v>
      </c>
      <c r="S275" s="103"/>
      <c r="U275" s="1376"/>
      <c r="V275" s="287" t="str">
        <f>$V$7</f>
        <v>Thousand tons CO₂e</v>
      </c>
      <c r="W275" s="288" t="s">
        <v>4</v>
      </c>
      <c r="X275" s="287" t="str">
        <f>$V$7</f>
        <v>Thousand tons CO₂e</v>
      </c>
      <c r="Y275" s="288" t="s">
        <v>4</v>
      </c>
      <c r="Z275" s="287" t="str">
        <f>$V$7</f>
        <v>Thousand tons CO₂e</v>
      </c>
      <c r="AA275" s="289" t="s">
        <v>4</v>
      </c>
      <c r="AC275" s="1376"/>
      <c r="AD275" s="287" t="str">
        <f>$V$7</f>
        <v>Thousand tons CO₂e</v>
      </c>
      <c r="AE275" s="287" t="s">
        <v>4</v>
      </c>
    </row>
    <row r="276" spans="1:31" ht="22.35" customHeight="1" thickTop="1" x14ac:dyDescent="0.4">
      <c r="A276" s="88" t="s">
        <v>68</v>
      </c>
      <c r="B276" s="26" t="s">
        <v>277</v>
      </c>
      <c r="C276" s="26" t="s">
        <v>44</v>
      </c>
      <c r="D276" s="20" t="s">
        <v>44</v>
      </c>
      <c r="E276" s="294" t="str">
        <f>'Talnagögn | Numerical Data'!$E$210</f>
        <v>Skógar</v>
      </c>
      <c r="F276" s="290" cm="1">
        <f t="array" ref="F276">INDEX('Talnagögn | Numerical Data'!$1:$1048576,_xlfn.XMATCH($A276,'Talnagögn | Numerical Data'!$B:$B),_xlfn.XMATCH($A$1,'Talnagögn | Numerical Data'!$1:$1))</f>
        <v>-569.03313713696218</v>
      </c>
      <c r="G276" s="297">
        <f>$F276/$F$281</f>
        <v>-9.3585727106457406E-2</v>
      </c>
      <c r="H276" s="291" cm="1">
        <f t="array" ref="H276">INDEX('Talnagögn | Numerical Data'!$1:$1048576, _xlfn.XMATCH($A276,'Talnagögn | Numerical Data'!$B:$B), _xlfn.XMATCH($A$1,'Talnagögn | Numerical Data'!$1:$1))-INDEX('Talnagögn | Numerical Data'!$1:$1048576, _xlfn.XMATCH($A276,'Talnagögn | Numerical Data'!$B:$B), _xlfn.XMATCH($B$3,'Talnagögn | Numerical Data'!$1:$1))</f>
        <v>-34.866324194723347</v>
      </c>
      <c r="I276" s="962" cm="1">
        <f t="array" ref="I276">INDEX('Talnagögn | Numerical Data'!$1:$1048576, _xlfn.XMATCH($A276,'Talnagögn | Numerical Data'!$B:$B), _xlfn.XMATCH($A$1,'Talnagögn | Numerical Data'!$1:$1))/INDEX('Talnagögn | Numerical Data'!$1:$1048576, _xlfn.XMATCH($A276,'Talnagögn | Numerical Data'!$B:$B), _xlfn.XMATCH($B$3,'Talnagögn | Numerical Data'!$1:$1))-1</f>
        <v>6.5272351913209459E-2</v>
      </c>
      <c r="J276" s="291" cm="1">
        <f t="array" ref="J276">INDEX('Talnagögn | Numerical Data'!$1:$1048576, _xlfn.XMATCH($A276,'Talnagögn | Numerical Data'!$B:$B), _xlfn.XMATCH($A$1,'Talnagögn | Numerical Data'!$1:$1))-INDEX('Talnagögn | Numerical Data'!$1:$1048576, _xlfn.XMATCH($A276,'Talnagögn | Numerical Data'!$B:$B), _xlfn.XMATCH($B$2,'Talnagögn | Numerical Data'!$1:$1))</f>
        <v>-422.79780296687881</v>
      </c>
      <c r="K276" s="292" cm="1">
        <f t="array" ref="K276">INDEX('Talnagögn | Numerical Data'!$1:$1048576, _xlfn.XMATCH($A276,'Talnagögn | Numerical Data'!$B:$B), _xlfn.XMATCH($A$1,'Talnagögn | Numerical Data'!$1:$1))/INDEX('Talnagögn | Numerical Data'!$1:$1048576, _xlfn.XMATCH($A276,'Talnagögn | Numerical Data'!$B:$B), _xlfn.XMATCH($B$2,'Talnagögn | Numerical Data'!$1:$1))-1</f>
        <v>2.8912150771654899</v>
      </c>
      <c r="M276" s="294" t="str">
        <f>'Talnagögn | Numerical Data'!$E$210</f>
        <v>Skógar</v>
      </c>
      <c r="N276" s="291" cm="1">
        <f t="array" ref="N276">INDEX('Talnagögn | Numerical Data'!$1:$1048576, _xlfn.XMATCH($B276,'Talnagögn | Numerical Data'!$C:$C), _xlfn.XMATCH($B$4,'Talnagögn | Numerical Data'!$1:$1))-INDEX('Talnagögn | Numerical Data'!$1:$1048576, _xlfn.XMATCH($A276,'Talnagögn | Numerical Data'!$C:$C), _xlfn.XMATCH($B$2,'Talnagögn | Numerical Data'!$1:$1))</f>
        <v>-605.86370021694165</v>
      </c>
      <c r="O276" s="292" cm="1">
        <f t="array" ref="O276">INDEX('Talnagögn | Numerical Data'!$1:$1048576, _xlfn.XMATCH($B276,'Talnagögn | Numerical Data'!$C:$C), _xlfn.XMATCH($B$4,'Talnagögn | Numerical Data'!$1:$1))/INDEX('Talnagögn | Numerical Data'!$1:$1048576, _xlfn.XMATCH($A276,'Talnagögn | Numerical Data'!$C:$C), _xlfn.XMATCH($B$2,'Talnagögn | Numerical Data'!$1:$1))-1</f>
        <v>4.1430732432441655</v>
      </c>
      <c r="S276" s="103"/>
      <c r="U276" s="294" t="str">
        <f>'Talnagögn | Numerical Data'!$G$210</f>
        <v>Forest Land</v>
      </c>
      <c r="V276" s="290" cm="1">
        <f t="array" ref="V276">INDEX('Talnagögn | Numerical Data'!$1:$1048576,_xlfn.XMATCH($A276,'Talnagögn | Numerical Data'!$B:$B),_xlfn.XMATCH($A$1,'Talnagögn | Numerical Data'!$1:$1))</f>
        <v>-569.03313713696218</v>
      </c>
      <c r="W276" s="297">
        <f>$F276/$F$281</f>
        <v>-9.3585727106457406E-2</v>
      </c>
      <c r="X276" s="965" cm="1">
        <f t="array" ref="X276">INDEX('Talnagögn | Numerical Data'!$1:$1048576, _xlfn.XMATCH($A276,'Talnagögn | Numerical Data'!$B:$B), _xlfn.XMATCH($A$1,'Talnagögn | Numerical Data'!$1:$1))-INDEX('Talnagögn | Numerical Data'!$1:$1048576, _xlfn.XMATCH($A276,'Talnagögn | Numerical Data'!$B:$B), _xlfn.XMATCH($B$3,'Talnagögn | Numerical Data'!$1:$1))</f>
        <v>-34.866324194723347</v>
      </c>
      <c r="Y276" s="966" cm="1">
        <f t="array" ref="Y276">INDEX('Talnagögn | Numerical Data'!$1:$1048576, _xlfn.XMATCH($A276,'Talnagögn | Numerical Data'!$B:$B), _xlfn.XMATCH($A$1,'Talnagögn | Numerical Data'!$1:$1))/INDEX('Talnagögn | Numerical Data'!$1:$1048576, _xlfn.XMATCH($A276,'Talnagögn | Numerical Data'!$B:$B), _xlfn.XMATCH($B$3,'Talnagögn | Numerical Data'!$1:$1))-1</f>
        <v>6.5272351913209459E-2</v>
      </c>
      <c r="Z276" s="291" cm="1">
        <f t="array" ref="Z276">INDEX('Talnagögn | Numerical Data'!$1:$1048576, _xlfn.XMATCH($A276,'Talnagögn | Numerical Data'!$B:$B), _xlfn.XMATCH($A$1,'Talnagögn | Numerical Data'!$1:$1))-INDEX('Talnagögn | Numerical Data'!$1:$1048576, _xlfn.XMATCH($A276,'Talnagögn | Numerical Data'!$B:$B), _xlfn.XMATCH($B$2,'Talnagögn | Numerical Data'!$1:$1))</f>
        <v>-422.79780296687881</v>
      </c>
      <c r="AA276" s="292" cm="1">
        <f t="array" ref="AA276">INDEX('Talnagögn | Numerical Data'!$1:$1048576, _xlfn.XMATCH($A276,'Talnagögn | Numerical Data'!$B:$B), _xlfn.XMATCH($A$1,'Talnagögn | Numerical Data'!$1:$1))/INDEX('Talnagögn | Numerical Data'!$1:$1048576, _xlfn.XMATCH($A276,'Talnagögn | Numerical Data'!$B:$B), _xlfn.XMATCH($B$2,'Talnagögn | Numerical Data'!$1:$1))-1</f>
        <v>2.8912150771654899</v>
      </c>
      <c r="AB276" s="292"/>
      <c r="AC276" s="294" t="str">
        <f>'Talnagögn | Numerical Data'!$G$210</f>
        <v>Forest Land</v>
      </c>
      <c r="AD276" s="291" cm="1">
        <f t="array" ref="AD276">INDEX('Talnagögn | Numerical Data'!$1:$1048576, _xlfn.XMATCH($B276,'Talnagögn | Numerical Data'!$C:$C), _xlfn.XMATCH($B$4,'Talnagögn | Numerical Data'!$1:$1))-INDEX('Talnagögn | Numerical Data'!$1:$1048576, _xlfn.XMATCH($A276,'Talnagögn | Numerical Data'!$C:$C), _xlfn.XMATCH($B$2,'Talnagögn | Numerical Data'!$1:$1))</f>
        <v>-605.86370021694165</v>
      </c>
      <c r="AE276" s="292" cm="1">
        <f t="array" ref="AE276">INDEX('Talnagögn | Numerical Data'!$1:$1048576, _xlfn.XMATCH($B276,'Talnagögn | Numerical Data'!$C:$C), _xlfn.XMATCH($B$4,'Talnagögn | Numerical Data'!$1:$1))/INDEX('Talnagögn | Numerical Data'!$1:$1048576, _xlfn.XMATCH($A276,'Talnagögn | Numerical Data'!$C:$C), _xlfn.XMATCH($B$2,'Talnagögn | Numerical Data'!$1:$1))-1</f>
        <v>4.1430732432441655</v>
      </c>
    </row>
    <row r="277" spans="1:31" ht="22.35" customHeight="1" x14ac:dyDescent="0.4">
      <c r="A277" s="88" t="s">
        <v>69</v>
      </c>
      <c r="B277" s="26" t="s">
        <v>278</v>
      </c>
      <c r="C277" s="26" t="s">
        <v>44</v>
      </c>
      <c r="E277" s="295" t="str">
        <f>'Talnagögn | Numerical Data'!$E$211</f>
        <v>Ræktað land</v>
      </c>
      <c r="F277" s="290" cm="1">
        <f t="array" ref="F277">INDEX('Talnagögn | Numerical Data'!$1:$1048576,_xlfn.XMATCH($A277,'Talnagögn | Numerical Data'!$B:$B),_xlfn.XMATCH($A$1,'Talnagögn | Numerical Data'!$1:$1))</f>
        <v>1574.5549406841444</v>
      </c>
      <c r="G277" s="298">
        <f>$F277/$F$281</f>
        <v>0.25895832663524315</v>
      </c>
      <c r="H277" s="290" cm="1">
        <f t="array" ref="H277">INDEX('Talnagögn | Numerical Data'!$1:$1048576, _xlfn.XMATCH($A277,'Talnagögn | Numerical Data'!$B:$B), _xlfn.XMATCH($A$1,'Talnagögn | Numerical Data'!$1:$1))-INDEX('Talnagögn | Numerical Data'!$1:$1048576, _xlfn.XMATCH($A277,'Talnagögn | Numerical Data'!$B:$B), _xlfn.XMATCH($B$3,'Talnagögn | Numerical Data'!$1:$1))</f>
        <v>-91.681576287888447</v>
      </c>
      <c r="I277" s="962" cm="1">
        <f t="array" ref="I277">INDEX('Talnagögn | Numerical Data'!$1:$1048576, _xlfn.XMATCH($A277,'Talnagögn | Numerical Data'!$B:$B), _xlfn.XMATCH($A$1,'Talnagögn | Numerical Data'!$1:$1))/INDEX('Talnagögn | Numerical Data'!$1:$1048576, _xlfn.XMATCH($A277,'Talnagögn | Numerical Data'!$B:$B), _xlfn.XMATCH($B$3,'Talnagögn | Numerical Data'!$1:$1))-1</f>
        <v>-5.5023146686580038E-2</v>
      </c>
      <c r="J277" s="290" cm="1">
        <f t="array" ref="J277">INDEX('Talnagögn | Numerical Data'!$1:$1048576, _xlfn.XMATCH($A277,'Talnagögn | Numerical Data'!$B:$B), _xlfn.XMATCH($A$1,'Talnagögn | Numerical Data'!$1:$1))-INDEX('Talnagögn | Numerical Data'!$1:$1048576, _xlfn.XMATCH($A277,'Talnagögn | Numerical Data'!$B:$B), _xlfn.XMATCH($B$2,'Talnagögn | Numerical Data'!$1:$1))</f>
        <v>-496.59214178684329</v>
      </c>
      <c r="K277" s="292" cm="1">
        <f t="array" ref="K277">INDEX('Talnagögn | Numerical Data'!$1:$1048576, _xlfn.XMATCH($A277,'Talnagögn | Numerical Data'!$B:$B), _xlfn.XMATCH($A$1,'Talnagögn | Numerical Data'!$1:$1))/INDEX('Talnagögn | Numerical Data'!$1:$1048576, _xlfn.XMATCH($A277,'Talnagögn | Numerical Data'!$B:$B), _xlfn.XMATCH($B$2,'Talnagögn | Numerical Data'!$1:$1))-1</f>
        <v>-0.23976671960659723</v>
      </c>
      <c r="M277" s="295" t="str">
        <f>'Talnagögn | Numerical Data'!$E$211</f>
        <v>Ræktað land</v>
      </c>
      <c r="N277" s="291" cm="1">
        <f t="array" ref="N277">INDEX('Talnagögn | Numerical Data'!$1:$1048576, _xlfn.XMATCH($B277,'Talnagögn | Numerical Data'!$C:$C), _xlfn.XMATCH($B$4,'Talnagögn | Numerical Data'!$1:$1))-INDEX('Talnagögn | Numerical Data'!$1:$1048576, _xlfn.XMATCH($A277,'Talnagögn | Numerical Data'!$C:$C), _xlfn.XMATCH($B$2,'Talnagögn | Numerical Data'!$1:$1))</f>
        <v>-483.90786953438487</v>
      </c>
      <c r="O277" s="292" cm="1">
        <f t="array" ref="O277">INDEX('Talnagögn | Numerical Data'!$1:$1048576, _xlfn.XMATCH($B277,'Talnagögn | Numerical Data'!$C:$C), _xlfn.XMATCH($B$4,'Talnagögn | Numerical Data'!$1:$1))/INDEX('Talnagögn | Numerical Data'!$1:$1048576, _xlfn.XMATCH($A277,'Talnagögn | Numerical Data'!$C:$C), _xlfn.XMATCH($B$2,'Talnagögn | Numerical Data'!$1:$1))-1</f>
        <v>-0.23364244559447578</v>
      </c>
      <c r="S277" s="103"/>
      <c r="U277" s="295" t="str">
        <f>'Talnagögn | Numerical Data'!$G$211</f>
        <v>Cropland</v>
      </c>
      <c r="V277" s="290" cm="1">
        <f t="array" ref="V277">INDEX('Talnagögn | Numerical Data'!$1:$1048576,_xlfn.XMATCH($A277,'Talnagögn | Numerical Data'!$B:$B),_xlfn.XMATCH($A$1,'Talnagögn | Numerical Data'!$1:$1))</f>
        <v>1574.5549406841444</v>
      </c>
      <c r="W277" s="298">
        <f>$F277/$F$281</f>
        <v>0.25895832663524315</v>
      </c>
      <c r="X277" s="290" cm="1">
        <f t="array" ref="X277">INDEX('Talnagögn | Numerical Data'!$1:$1048576, _xlfn.XMATCH($A277,'Talnagögn | Numerical Data'!$B:$B), _xlfn.XMATCH($A$1,'Talnagögn | Numerical Data'!$1:$1))-INDEX('Talnagögn | Numerical Data'!$1:$1048576, _xlfn.XMATCH($A277,'Talnagögn | Numerical Data'!$B:$B), _xlfn.XMATCH($B$3,'Talnagögn | Numerical Data'!$1:$1))</f>
        <v>-91.681576287888447</v>
      </c>
      <c r="Y277" s="966" cm="1">
        <f t="array" ref="Y277">INDEX('Talnagögn | Numerical Data'!$1:$1048576, _xlfn.XMATCH($A277,'Talnagögn | Numerical Data'!$B:$B), _xlfn.XMATCH($A$1,'Talnagögn | Numerical Data'!$1:$1))/INDEX('Talnagögn | Numerical Data'!$1:$1048576, _xlfn.XMATCH($A277,'Talnagögn | Numerical Data'!$B:$B), _xlfn.XMATCH($B$3,'Talnagögn | Numerical Data'!$1:$1))-1</f>
        <v>-5.5023146686580038E-2</v>
      </c>
      <c r="Z277" s="290" cm="1">
        <f t="array" ref="Z277">INDEX('Talnagögn | Numerical Data'!$1:$1048576, _xlfn.XMATCH($A277,'Talnagögn | Numerical Data'!$B:$B), _xlfn.XMATCH($A$1,'Talnagögn | Numerical Data'!$1:$1))-INDEX('Talnagögn | Numerical Data'!$1:$1048576, _xlfn.XMATCH($A277,'Talnagögn | Numerical Data'!$B:$B), _xlfn.XMATCH($B$2,'Talnagögn | Numerical Data'!$1:$1))</f>
        <v>-496.59214178684329</v>
      </c>
      <c r="AA277" s="292" cm="1">
        <f t="array" ref="AA277">INDEX('Talnagögn | Numerical Data'!$1:$1048576, _xlfn.XMATCH($A277,'Talnagögn | Numerical Data'!$B:$B), _xlfn.XMATCH($A$1,'Talnagögn | Numerical Data'!$1:$1))/INDEX('Talnagögn | Numerical Data'!$1:$1048576, _xlfn.XMATCH($A277,'Talnagögn | Numerical Data'!$B:$B), _xlfn.XMATCH($B$2,'Talnagögn | Numerical Data'!$1:$1))-1</f>
        <v>-0.23976671960659723</v>
      </c>
      <c r="AB277" s="292"/>
      <c r="AC277" s="295" t="str">
        <f>'Talnagögn | Numerical Data'!$G$211</f>
        <v>Cropland</v>
      </c>
      <c r="AD277" s="291" cm="1">
        <f t="array" ref="AD277">INDEX('Talnagögn | Numerical Data'!$1:$1048576, _xlfn.XMATCH($B277,'Talnagögn | Numerical Data'!$C:$C), _xlfn.XMATCH($B$4,'Talnagögn | Numerical Data'!$1:$1))-INDEX('Talnagögn | Numerical Data'!$1:$1048576, _xlfn.XMATCH($A277,'Talnagögn | Numerical Data'!$C:$C), _xlfn.XMATCH($B$2,'Talnagögn | Numerical Data'!$1:$1))</f>
        <v>-483.90786953438487</v>
      </c>
      <c r="AE277" s="292" cm="1">
        <f t="array" ref="AE277">INDEX('Talnagögn | Numerical Data'!$1:$1048576, _xlfn.XMATCH($B277,'Talnagögn | Numerical Data'!$C:$C), _xlfn.XMATCH($B$4,'Talnagögn | Numerical Data'!$1:$1))/INDEX('Talnagögn | Numerical Data'!$1:$1048576, _xlfn.XMATCH($A277,'Talnagögn | Numerical Data'!$C:$C), _xlfn.XMATCH($B$2,'Talnagögn | Numerical Data'!$1:$1))-1</f>
        <v>-0.23364244559447578</v>
      </c>
    </row>
    <row r="278" spans="1:31" ht="22.35" customHeight="1" x14ac:dyDescent="0.4">
      <c r="A278" s="88" t="s">
        <v>70</v>
      </c>
      <c r="B278" s="26" t="s">
        <v>279</v>
      </c>
      <c r="C278" s="26" t="s">
        <v>44</v>
      </c>
      <c r="E278" s="295" t="str">
        <f>'Talnagögn | Numerical Data'!$E$212</f>
        <v>Mólendi</v>
      </c>
      <c r="F278" s="290" cm="1">
        <f t="array" ref="F278">INDEX('Talnagögn | Numerical Data'!$1:$1048576,_xlfn.XMATCH($A278,'Talnagögn | Numerical Data'!$B:$B),_xlfn.XMATCH($A$1,'Talnagögn | Numerical Data'!$1:$1))</f>
        <v>5024.8635353547543</v>
      </c>
      <c r="G278" s="298">
        <f>$F278/$F$281</f>
        <v>0.8264114633691565</v>
      </c>
      <c r="H278" s="290" cm="1">
        <f t="array" ref="H278">INDEX('Talnagögn | Numerical Data'!$1:$1048576, _xlfn.XMATCH($A278,'Talnagögn | Numerical Data'!$B:$B), _xlfn.XMATCH($A$1,'Talnagögn | Numerical Data'!$1:$1))-INDEX('Talnagögn | Numerical Data'!$1:$1048576, _xlfn.XMATCH($A278,'Talnagögn | Numerical Data'!$B:$B), _xlfn.XMATCH($B$3,'Talnagögn | Numerical Data'!$1:$1))</f>
        <v>-15.271946067456156</v>
      </c>
      <c r="I278" s="300" cm="1">
        <f t="array" ref="I278">INDEX('Talnagögn | Numerical Data'!$1:$1048576, _xlfn.XMATCH($A278,'Talnagögn | Numerical Data'!$B:$B), _xlfn.XMATCH($A$1,'Talnagögn | Numerical Data'!$1:$1))/INDEX('Talnagögn | Numerical Data'!$1:$1048576, _xlfn.XMATCH($A278,'Talnagögn | Numerical Data'!$B:$B), _xlfn.XMATCH($B$3,'Talnagögn | Numerical Data'!$1:$1))-1</f>
        <v>-3.0300665773267399E-3</v>
      </c>
      <c r="J278" s="290" cm="1">
        <f t="array" ref="J278">INDEX('Talnagögn | Numerical Data'!$1:$1048576, _xlfn.XMATCH($A278,'Talnagögn | Numerical Data'!$B:$B), _xlfn.XMATCH($A$1,'Talnagögn | Numerical Data'!$1:$1))-INDEX('Talnagögn | Numerical Data'!$1:$1048576, _xlfn.XMATCH($A278,'Talnagögn | Numerical Data'!$B:$B), _xlfn.XMATCH($B$2,'Talnagögn | Numerical Data'!$1:$1))</f>
        <v>378.18899039301959</v>
      </c>
      <c r="K278" s="293" cm="1">
        <f t="array" ref="K278">INDEX('Talnagögn | Numerical Data'!$1:$1048576, _xlfn.XMATCH($A278,'Talnagögn | Numerical Data'!$B:$B), _xlfn.XMATCH($A$1,'Talnagögn | Numerical Data'!$1:$1))/INDEX('Talnagögn | Numerical Data'!$1:$1048576, _xlfn.XMATCH($A278,'Talnagögn | Numerical Data'!$B:$B), _xlfn.XMATCH($B$2,'Talnagögn | Numerical Data'!$1:$1))-1</f>
        <v>8.1389171273697158E-2</v>
      </c>
      <c r="M278" s="295" t="str">
        <f>'Talnagögn | Numerical Data'!$E$212</f>
        <v>Mólendi</v>
      </c>
      <c r="N278" s="291" cm="1">
        <f t="array" ref="N278">INDEX('Talnagögn | Numerical Data'!$1:$1048576, _xlfn.XMATCH($B278,'Talnagögn | Numerical Data'!$C:$C), _xlfn.XMATCH($B$4,'Talnagögn | Numerical Data'!$1:$1))-INDEX('Talnagögn | Numerical Data'!$1:$1048576, _xlfn.XMATCH($A278,'Talnagögn | Numerical Data'!$C:$C), _xlfn.XMATCH($B$2,'Talnagögn | Numerical Data'!$1:$1))</f>
        <v>-63.413454612568785</v>
      </c>
      <c r="O278" s="293" cm="1">
        <f t="array" ref="O278">INDEX('Talnagögn | Numerical Data'!$1:$1048576, _xlfn.XMATCH($B278,'Talnagögn | Numerical Data'!$C:$C), _xlfn.XMATCH($B$4,'Talnagögn | Numerical Data'!$1:$1))/INDEX('Talnagögn | Numerical Data'!$1:$1048576, _xlfn.XMATCH($A278,'Talnagögn | Numerical Data'!$C:$C), _xlfn.XMATCH($B$2,'Talnagögn | Numerical Data'!$1:$1))-1</f>
        <v>-1.3647061785578729E-2</v>
      </c>
      <c r="S278" s="103"/>
      <c r="U278" s="295" t="str">
        <f>'Talnagögn | Numerical Data'!$G$212</f>
        <v>Grassland</v>
      </c>
      <c r="V278" s="290" cm="1">
        <f t="array" ref="V278">INDEX('Talnagögn | Numerical Data'!$1:$1048576,_xlfn.XMATCH($A278,'Talnagögn | Numerical Data'!$B:$B),_xlfn.XMATCH($A$1,'Talnagögn | Numerical Data'!$1:$1))</f>
        <v>5024.8635353547543</v>
      </c>
      <c r="W278" s="298">
        <f>$F278/$F$281</f>
        <v>0.8264114633691565</v>
      </c>
      <c r="X278" s="967" cm="1">
        <f t="array" ref="X278">INDEX('Talnagögn | Numerical Data'!$1:$1048576, _xlfn.XMATCH($A278,'Talnagögn | Numerical Data'!$B:$B), _xlfn.XMATCH($A$1,'Talnagögn | Numerical Data'!$1:$1))-INDEX('Talnagögn | Numerical Data'!$1:$1048576, _xlfn.XMATCH($A278,'Talnagögn | Numerical Data'!$B:$B), _xlfn.XMATCH($B$3,'Talnagögn | Numerical Data'!$1:$1))</f>
        <v>-15.271946067456156</v>
      </c>
      <c r="Y278" s="300" cm="1">
        <f t="array" ref="Y278">INDEX('Talnagögn | Numerical Data'!$1:$1048576, _xlfn.XMATCH($A278,'Talnagögn | Numerical Data'!$B:$B), _xlfn.XMATCH($A$1,'Talnagögn | Numerical Data'!$1:$1))/INDEX('Talnagögn | Numerical Data'!$1:$1048576, _xlfn.XMATCH($A278,'Talnagögn | Numerical Data'!$B:$B), _xlfn.XMATCH($B$3,'Talnagögn | Numerical Data'!$1:$1))-1</f>
        <v>-3.0300665773267399E-3</v>
      </c>
      <c r="Z278" s="290" cm="1">
        <f t="array" ref="Z278">INDEX('Talnagögn | Numerical Data'!$1:$1048576, _xlfn.XMATCH($A278,'Talnagögn | Numerical Data'!$B:$B), _xlfn.XMATCH($A$1,'Talnagögn | Numerical Data'!$1:$1))-INDEX('Talnagögn | Numerical Data'!$1:$1048576, _xlfn.XMATCH($A278,'Talnagögn | Numerical Data'!$B:$B), _xlfn.XMATCH($B$2,'Talnagögn | Numerical Data'!$1:$1))</f>
        <v>378.18899039301959</v>
      </c>
      <c r="AA278" s="293" cm="1">
        <f t="array" ref="AA278">INDEX('Talnagögn | Numerical Data'!$1:$1048576, _xlfn.XMATCH($A278,'Talnagögn | Numerical Data'!$B:$B), _xlfn.XMATCH($A$1,'Talnagögn | Numerical Data'!$1:$1))/INDEX('Talnagögn | Numerical Data'!$1:$1048576, _xlfn.XMATCH($A278,'Talnagögn | Numerical Data'!$B:$B), _xlfn.XMATCH($B$2,'Talnagögn | Numerical Data'!$1:$1))-1</f>
        <v>8.1389171273697158E-2</v>
      </c>
      <c r="AB278" s="293"/>
      <c r="AC278" s="295" t="str">
        <f>'Talnagögn | Numerical Data'!$G$212</f>
        <v>Grassland</v>
      </c>
      <c r="AD278" s="291" cm="1">
        <f t="array" ref="AD278">INDEX('Talnagögn | Numerical Data'!$1:$1048576, _xlfn.XMATCH($B278,'Talnagögn | Numerical Data'!$C:$C), _xlfn.XMATCH($B$4,'Talnagögn | Numerical Data'!$1:$1))-INDEX('Talnagögn | Numerical Data'!$1:$1048576, _xlfn.XMATCH($A278,'Talnagögn | Numerical Data'!$C:$C), _xlfn.XMATCH($B$2,'Talnagögn | Numerical Data'!$1:$1))</f>
        <v>-63.413454612568785</v>
      </c>
      <c r="AE278" s="971" cm="1">
        <f t="array" ref="AE278">INDEX('Talnagögn | Numerical Data'!$1:$1048576, _xlfn.XMATCH($B278,'Talnagögn | Numerical Data'!$C:$C), _xlfn.XMATCH($B$4,'Talnagögn | Numerical Data'!$1:$1))/INDEX('Talnagögn | Numerical Data'!$1:$1048576, _xlfn.XMATCH($A278,'Talnagögn | Numerical Data'!$C:$C), _xlfn.XMATCH($B$2,'Talnagögn | Numerical Data'!$1:$1))-1</f>
        <v>-1.3647061785578729E-2</v>
      </c>
    </row>
    <row r="279" spans="1:31" ht="22.35" customHeight="1" x14ac:dyDescent="0.4">
      <c r="A279" s="88" t="s">
        <v>71</v>
      </c>
      <c r="B279" s="26" t="s">
        <v>280</v>
      </c>
      <c r="C279" s="26" t="s">
        <v>44</v>
      </c>
      <c r="E279" s="295" t="str">
        <f>'Talnagögn | Numerical Data'!$E$213</f>
        <v>Votlendi</v>
      </c>
      <c r="F279" s="290" cm="1">
        <f t="array" ref="F279">INDEX('Talnagögn | Numerical Data'!$1:$1048576,_xlfn.XMATCH($A279,'Talnagögn | Numerical Data'!$B:$B),_xlfn.XMATCH($A$1,'Talnagögn | Numerical Data'!$1:$1))</f>
        <v>17.192248584685633</v>
      </c>
      <c r="G279" s="300">
        <f>$F279/$F$281</f>
        <v>2.8275138641100012E-3</v>
      </c>
      <c r="H279" s="630" cm="1">
        <f t="array" ref="H279">INDEX('Talnagögn | Numerical Data'!$1:$1048576, _xlfn.XMATCH($A279,'Talnagögn | Numerical Data'!$B:$B), _xlfn.XMATCH($A$1,'Talnagögn | Numerical Data'!$1:$1))-INDEX('Talnagögn | Numerical Data'!$1:$1048576, _xlfn.XMATCH($A279,'Talnagögn | Numerical Data'!$B:$B), _xlfn.XMATCH($B$3,'Talnagögn | Numerical Data'!$1:$1))</f>
        <v>4.2615747822331684E-2</v>
      </c>
      <c r="I279" s="300" cm="1">
        <f t="array" ref="I279">INDEX('Talnagögn | Numerical Data'!$1:$1048576, _xlfn.XMATCH($A279,'Talnagögn | Numerical Data'!$B:$B), _xlfn.XMATCH($A$1,'Talnagögn | Numerical Data'!$1:$1))/INDEX('Talnagögn | Numerical Data'!$1:$1048576, _xlfn.XMATCH($A279,'Talnagögn | Numerical Data'!$B:$B), _xlfn.XMATCH($B$3,'Talnagögn | Numerical Data'!$1:$1))-1</f>
        <v>2.4849364547752106E-3</v>
      </c>
      <c r="J279" s="296" cm="1">
        <f t="array" ref="J279">INDEX('Talnagögn | Numerical Data'!$1:$1048576, _xlfn.XMATCH($A279,'Talnagögn | Numerical Data'!$B:$B), _xlfn.XMATCH($A$1,'Talnagögn | Numerical Data'!$1:$1))-INDEX('Talnagögn | Numerical Data'!$1:$1048576, _xlfn.XMATCH($A279,'Talnagögn | Numerical Data'!$B:$B), _xlfn.XMATCH($B$2,'Talnagögn | Numerical Data'!$1:$1))</f>
        <v>-2.2516881266037423</v>
      </c>
      <c r="K279" s="292" cm="1">
        <f t="array" ref="K279">INDEX('Talnagögn | Numerical Data'!$1:$1048576, _xlfn.XMATCH($A279,'Talnagögn | Numerical Data'!$B:$B), _xlfn.XMATCH($A$1,'Talnagögn | Numerical Data'!$1:$1))/INDEX('Talnagögn | Numerical Data'!$1:$1048576, _xlfn.XMATCH($A279,'Talnagögn | Numerical Data'!$B:$B), _xlfn.XMATCH($B$2,'Talnagögn | Numerical Data'!$1:$1))-1</f>
        <v>-0.11580412753022318</v>
      </c>
      <c r="M279" s="295" t="str">
        <f>'Talnagögn | Numerical Data'!$E$213</f>
        <v>Votlendi</v>
      </c>
      <c r="N279" s="291" cm="1">
        <f t="array" ref="N279">INDEX('Talnagögn | Numerical Data'!$1:$1048576, _xlfn.XMATCH($B279,'Talnagögn | Numerical Data'!$C:$C), _xlfn.XMATCH($B$4,'Talnagögn | Numerical Data'!$1:$1))-INDEX('Talnagögn | Numerical Data'!$1:$1048576, _xlfn.XMATCH($A279,'Talnagögn | Numerical Data'!$C:$C), _xlfn.XMATCH($B$2,'Talnagögn | Numerical Data'!$1:$1))</f>
        <v>48.898966268793437</v>
      </c>
      <c r="O279" s="292" cm="1">
        <f t="array" ref="O279">INDEX('Talnagögn | Numerical Data'!$1:$1048576, _xlfn.XMATCH($B279,'Talnagögn | Numerical Data'!$C:$C), _xlfn.XMATCH($B$4,'Talnagögn | Numerical Data'!$1:$1))/INDEX('Talnagögn | Numerical Data'!$1:$1048576, _xlfn.XMATCH($A279,'Talnagögn | Numerical Data'!$C:$C), _xlfn.XMATCH($B$2,'Talnagögn | Numerical Data'!$1:$1))-1</f>
        <v>2.5148696477911354</v>
      </c>
      <c r="S279" s="103"/>
      <c r="U279" s="295" t="str">
        <f>'Talnagögn | Numerical Data'!$G$213</f>
        <v>Wetlands</v>
      </c>
      <c r="V279" s="290" cm="1">
        <f t="array" ref="V279">INDEX('Talnagögn | Numerical Data'!$1:$1048576,_xlfn.XMATCH($A279,'Talnagögn | Numerical Data'!$B:$B),_xlfn.XMATCH($A$1,'Talnagögn | Numerical Data'!$1:$1))</f>
        <v>17.192248584685633</v>
      </c>
      <c r="W279" s="300">
        <f>$F279/$F$281</f>
        <v>2.8275138641100012E-3</v>
      </c>
      <c r="X279" s="630" cm="1">
        <f t="array" ref="X279">INDEX('Talnagögn | Numerical Data'!$1:$1048576, _xlfn.XMATCH($A279,'Talnagögn | Numerical Data'!$B:$B), _xlfn.XMATCH($A$1,'Talnagögn | Numerical Data'!$1:$1))-INDEX('Talnagögn | Numerical Data'!$1:$1048576, _xlfn.XMATCH($A279,'Talnagögn | Numerical Data'!$B:$B), _xlfn.XMATCH($B$3,'Talnagögn | Numerical Data'!$1:$1))</f>
        <v>4.2615747822331684E-2</v>
      </c>
      <c r="Y279" s="300" cm="1">
        <f t="array" ref="Y279">INDEX('Talnagögn | Numerical Data'!$1:$1048576, _xlfn.XMATCH($A279,'Talnagögn | Numerical Data'!$B:$B), _xlfn.XMATCH($A$1,'Talnagögn | Numerical Data'!$1:$1))/INDEX('Talnagögn | Numerical Data'!$1:$1048576, _xlfn.XMATCH($A279,'Talnagögn | Numerical Data'!$B:$B), _xlfn.XMATCH($B$3,'Talnagögn | Numerical Data'!$1:$1))-1</f>
        <v>2.4849364547752106E-3</v>
      </c>
      <c r="Z279" s="296" cm="1">
        <f t="array" ref="Z279">INDEX('Talnagögn | Numerical Data'!$1:$1048576, _xlfn.XMATCH($A279,'Talnagögn | Numerical Data'!$B:$B), _xlfn.XMATCH($A$1,'Talnagögn | Numerical Data'!$1:$1))-INDEX('Talnagögn | Numerical Data'!$1:$1048576, _xlfn.XMATCH($A279,'Talnagögn | Numerical Data'!$B:$B), _xlfn.XMATCH($B$2,'Talnagögn | Numerical Data'!$1:$1))</f>
        <v>-2.2516881266037423</v>
      </c>
      <c r="AA279" s="292" cm="1">
        <f t="array" ref="AA279">INDEX('Talnagögn | Numerical Data'!$1:$1048576, _xlfn.XMATCH($A279,'Talnagögn | Numerical Data'!$B:$B), _xlfn.XMATCH($A$1,'Talnagögn | Numerical Data'!$1:$1))/INDEX('Talnagögn | Numerical Data'!$1:$1048576, _xlfn.XMATCH($A279,'Talnagögn | Numerical Data'!$B:$B), _xlfn.XMATCH($B$2,'Talnagögn | Numerical Data'!$1:$1))-1</f>
        <v>-0.11580412753022318</v>
      </c>
      <c r="AB279" s="293"/>
      <c r="AC279" s="295" t="str">
        <f>'Talnagögn | Numerical Data'!$G$213</f>
        <v>Wetlands</v>
      </c>
      <c r="AD279" s="291" cm="1">
        <f t="array" ref="AD279">INDEX('Talnagögn | Numerical Data'!$1:$1048576, _xlfn.XMATCH($B279,'Talnagögn | Numerical Data'!$C:$C), _xlfn.XMATCH($B$4,'Talnagögn | Numerical Data'!$1:$1))-INDEX('Talnagögn | Numerical Data'!$1:$1048576, _xlfn.XMATCH($A279,'Talnagögn | Numerical Data'!$C:$C), _xlfn.XMATCH($B$2,'Talnagögn | Numerical Data'!$1:$1))</f>
        <v>48.898966268793437</v>
      </c>
      <c r="AE279" s="292" cm="1">
        <f t="array" ref="AE279">INDEX('Talnagögn | Numerical Data'!$1:$1048576, _xlfn.XMATCH($B279,'Talnagögn | Numerical Data'!$C:$C), _xlfn.XMATCH($B$4,'Talnagögn | Numerical Data'!$1:$1))/INDEX('Talnagögn | Numerical Data'!$1:$1048576, _xlfn.XMATCH($A279,'Talnagögn | Numerical Data'!$C:$C), _xlfn.XMATCH($B$2,'Talnagögn | Numerical Data'!$1:$1))-1</f>
        <v>2.5148696477911354</v>
      </c>
    </row>
    <row r="280" spans="1:31" ht="22.35" customHeight="1" x14ac:dyDescent="0.4">
      <c r="A280" s="88" t="s">
        <v>85</v>
      </c>
      <c r="B280" s="26" t="s">
        <v>281</v>
      </c>
      <c r="C280" s="26" t="s">
        <v>44</v>
      </c>
      <c r="E280" s="301" t="str">
        <f>'Talnagögn | Numerical Data'!$E$214</f>
        <v>Önnur losun</v>
      </c>
      <c r="F280" s="302" cm="1">
        <f t="array" ref="F280">INDEX('Talnagögn | Numerical Data'!$1:$1048576,_xlfn.XMATCH($A280,'Talnagögn | Numerical Data'!$B:$B),_xlfn.XMATCH($A$1,'Talnagögn | Numerical Data'!$1:$1))</f>
        <v>32.763450946138619</v>
      </c>
      <c r="G280" s="303">
        <f>$F280/$F$281</f>
        <v>5.3884232379477794E-3</v>
      </c>
      <c r="H280" s="304" cm="1">
        <f t="array" ref="H280">INDEX('Talnagögn | Numerical Data'!$1:$1048576, _xlfn.XMATCH($A280,'Talnagögn | Numerical Data'!$B:$B), _xlfn.XMATCH($A$1,'Talnagögn | Numerical Data'!$1:$1))-INDEX('Talnagögn | Numerical Data'!$1:$1048576, _xlfn.XMATCH($A280,'Talnagögn | Numerical Data'!$B:$B), _xlfn.XMATCH($B$3,'Talnagögn | Numerical Data'!$1:$1))</f>
        <v>6.2019491203400321</v>
      </c>
      <c r="I280" s="305" cm="1">
        <f t="array" ref="I280">INDEX('Talnagögn | Numerical Data'!$1:$1048576, _xlfn.XMATCH($A280,'Talnagögn | Numerical Data'!$B:$B), _xlfn.XMATCH($A$1,'Talnagögn | Numerical Data'!$1:$1))/INDEX('Talnagögn | Numerical Data'!$1:$1048576, _xlfn.XMATCH($A280,'Talnagögn | Numerical Data'!$B:$B), _xlfn.XMATCH($B$3,'Talnagögn | Numerical Data'!$1:$1))-1</f>
        <v>0.23349391766380534</v>
      </c>
      <c r="J280" s="302" cm="1">
        <f t="array" ref="J280">INDEX('Talnagögn | Numerical Data'!$1:$1048576, _xlfn.XMATCH($A280,'Talnagögn | Numerical Data'!$B:$B), _xlfn.XMATCH($A$1,'Talnagögn | Numerical Data'!$1:$1))-INDEX('Talnagögn | Numerical Data'!$1:$1048576, _xlfn.XMATCH($A280,'Talnagögn | Numerical Data'!$B:$B), _xlfn.XMATCH($B$2,'Talnagögn | Numerical Data'!$1:$1))</f>
        <v>-25.271480488359884</v>
      </c>
      <c r="K280" s="306" cm="1">
        <f t="array" ref="K280">INDEX('Talnagögn | Numerical Data'!$1:$1048576, _xlfn.XMATCH($A280,'Talnagögn | Numerical Data'!$B:$B), _xlfn.XMATCH($A$1,'Talnagögn | Numerical Data'!$1:$1))/INDEX('Talnagögn | Numerical Data'!$1:$1048576, _xlfn.XMATCH($A280,'Talnagögn | Numerical Data'!$B:$B), _xlfn.XMATCH($B$2,'Talnagögn | Numerical Data'!$1:$1))-1</f>
        <v>-0.43545292229530252</v>
      </c>
      <c r="M280" s="301" t="str">
        <f>'Talnagögn | Numerical Data'!$E$214</f>
        <v>Önnur losun</v>
      </c>
      <c r="N280" s="310" cm="1">
        <f t="array" ref="N280">INDEX('Talnagögn | Numerical Data'!$1:$1048576, _xlfn.XMATCH($B280,'Talnagögn | Numerical Data'!$C:$C), _xlfn.XMATCH($B$4,'Talnagögn | Numerical Data'!$1:$1))-INDEX('Talnagögn | Numerical Data'!$1:$1048576, _xlfn.XMATCH($A280,'Talnagögn | Numerical Data'!$C:$C), _xlfn.XMATCH($B$2,'Talnagögn | Numerical Data'!$1:$1))</f>
        <v>-25.436777102236192</v>
      </c>
      <c r="O280" s="306" cm="1">
        <f t="array" ref="O280">INDEX('Talnagögn | Numerical Data'!$1:$1048576, _xlfn.XMATCH($B280,'Talnagögn | Numerical Data'!$C:$C), _xlfn.XMATCH($B$4,'Talnagögn | Numerical Data'!$1:$1))/INDEX('Talnagögn | Numerical Data'!$1:$1048576, _xlfn.XMATCH($A280,'Talnagögn | Numerical Data'!$C:$C), _xlfn.XMATCH($B$2,'Talnagögn | Numerical Data'!$1:$1))-1</f>
        <v>-0.43830114852372271</v>
      </c>
      <c r="S280" s="103"/>
      <c r="U280" s="301" t="str">
        <f>'Talnagögn | Numerical Data'!$G$214</f>
        <v>Other Emissions</v>
      </c>
      <c r="V280" s="302" cm="1">
        <f t="array" ref="V280">INDEX('Talnagögn | Numerical Data'!$1:$1048576,_xlfn.XMATCH($A280,'Talnagögn | Numerical Data'!$B:$B),_xlfn.XMATCH($A$1,'Talnagögn | Numerical Data'!$1:$1))</f>
        <v>32.763450946138619</v>
      </c>
      <c r="W280" s="303">
        <f>$F280/$F$281</f>
        <v>5.3884232379477794E-3</v>
      </c>
      <c r="X280" s="304" cm="1">
        <f t="array" ref="X280">INDEX('Talnagögn | Numerical Data'!$1:$1048576, _xlfn.XMATCH($A280,'Talnagögn | Numerical Data'!$B:$B), _xlfn.XMATCH($A$1,'Talnagögn | Numerical Data'!$1:$1))-INDEX('Talnagögn | Numerical Data'!$1:$1048576, _xlfn.XMATCH($A280,'Talnagögn | Numerical Data'!$B:$B), _xlfn.XMATCH($B$3,'Talnagögn | Numerical Data'!$1:$1))</f>
        <v>6.2019491203400321</v>
      </c>
      <c r="Y280" s="305" cm="1">
        <f t="array" ref="Y280">INDEX('Talnagögn | Numerical Data'!$1:$1048576, _xlfn.XMATCH($A280,'Talnagögn | Numerical Data'!$B:$B), _xlfn.XMATCH($A$1,'Talnagögn | Numerical Data'!$1:$1))/INDEX('Talnagögn | Numerical Data'!$1:$1048576, _xlfn.XMATCH($A280,'Talnagögn | Numerical Data'!$B:$B), _xlfn.XMATCH($B$3,'Talnagögn | Numerical Data'!$1:$1))-1</f>
        <v>0.23349391766380534</v>
      </c>
      <c r="Z280" s="302" cm="1">
        <f t="array" ref="Z280">INDEX('Talnagögn | Numerical Data'!$1:$1048576, _xlfn.XMATCH($A280,'Talnagögn | Numerical Data'!$B:$B), _xlfn.XMATCH($A$1,'Talnagögn | Numerical Data'!$1:$1))-INDEX('Talnagögn | Numerical Data'!$1:$1048576, _xlfn.XMATCH($A280,'Talnagögn | Numerical Data'!$B:$B), _xlfn.XMATCH($B$2,'Talnagögn | Numerical Data'!$1:$1))</f>
        <v>-25.271480488359884</v>
      </c>
      <c r="AA280" s="306" cm="1">
        <f t="array" ref="AA280">INDEX('Talnagögn | Numerical Data'!$1:$1048576, _xlfn.XMATCH($A280,'Talnagögn | Numerical Data'!$B:$B), _xlfn.XMATCH($A$1,'Talnagögn | Numerical Data'!$1:$1))/INDEX('Talnagögn | Numerical Data'!$1:$1048576, _xlfn.XMATCH($A280,'Talnagögn | Numerical Data'!$B:$B), _xlfn.XMATCH($B$2,'Talnagögn | Numerical Data'!$1:$1))-1</f>
        <v>-0.43545292229530252</v>
      </c>
      <c r="AB280" s="293"/>
      <c r="AC280" s="301" t="str">
        <f>'Talnagögn | Numerical Data'!$G$214</f>
        <v>Other Emissions</v>
      </c>
      <c r="AD280" s="310" cm="1">
        <f t="array" ref="AD280">INDEX('Talnagögn | Numerical Data'!$1:$1048576, _xlfn.XMATCH($B280,'Talnagögn | Numerical Data'!$C:$C), _xlfn.XMATCH($B$4,'Talnagögn | Numerical Data'!$1:$1))-INDEX('Talnagögn | Numerical Data'!$1:$1048576, _xlfn.XMATCH($A280,'Talnagögn | Numerical Data'!$C:$C), _xlfn.XMATCH($B$2,'Talnagögn | Numerical Data'!$1:$1))</f>
        <v>-25.436777102236192</v>
      </c>
      <c r="AE280" s="306" cm="1">
        <f t="array" ref="AE280">INDEX('Talnagögn | Numerical Data'!$1:$1048576, _xlfn.XMATCH($B280,'Talnagögn | Numerical Data'!$C:$C), _xlfn.XMATCH($B$4,'Talnagögn | Numerical Data'!$1:$1))/INDEX('Talnagögn | Numerical Data'!$1:$1048576, _xlfn.XMATCH($A280,'Talnagögn | Numerical Data'!$C:$C), _xlfn.XMATCH($B$2,'Talnagögn | Numerical Data'!$1:$1))-1</f>
        <v>-0.43830114852372271</v>
      </c>
    </row>
    <row r="281" spans="1:31" ht="24" customHeight="1" x14ac:dyDescent="0.4">
      <c r="A281" s="88" t="s">
        <v>41</v>
      </c>
      <c r="B281" s="88" t="s">
        <v>224</v>
      </c>
      <c r="C281" s="26" t="s">
        <v>44</v>
      </c>
      <c r="E281" s="307" t="s">
        <v>12</v>
      </c>
      <c r="F281" s="308" cm="1">
        <f t="array" ref="F281">INDEX('Talnagögn | Numerical Data'!$1:$1048576,_xlfn.XMATCH($A281,'Talnagögn | Numerical Data'!$B:$B),_xlfn.XMATCH($A$1,'Talnagögn | Numerical Data'!$1:$1))</f>
        <v>6080.3410384327608</v>
      </c>
      <c r="G281" s="309">
        <f>SUM(G276:G280)</f>
        <v>0.99999999999999989</v>
      </c>
      <c r="H281" s="308" cm="1">
        <f t="array" ref="H281">INDEX('Talnagögn | Numerical Data'!$1:$1048576, _xlfn.XMATCH($A281,'Talnagögn | Numerical Data'!$B:$B), _xlfn.XMATCH($A$1,'Talnagögn | Numerical Data'!$1:$1))-INDEX('Talnagögn | Numerical Data'!$1:$1048576, _xlfn.XMATCH($A281,'Talnagögn | Numerical Data'!$B:$B), _xlfn.XMATCH($B$3,'Talnagögn | Numerical Data'!$1:$1))</f>
        <v>-135.57528168190584</v>
      </c>
      <c r="I281" s="961" cm="1">
        <f t="array" ref="I281">INDEX('Talnagögn | Numerical Data'!$1:$1048576, _xlfn.XMATCH($A281,'Talnagögn | Numerical Data'!$B:$B), _xlfn.XMATCH($A$1,'Talnagögn | Numerical Data'!$1:$1))/INDEX('Talnagögn | Numerical Data'!$1:$1048576, _xlfn.XMATCH($A281,'Talnagögn | Numerical Data'!$B:$B), _xlfn.XMATCH($B$3,'Talnagögn | Numerical Data'!$1:$1))-1</f>
        <v>-2.1810988871131531E-2</v>
      </c>
      <c r="J281" s="308" cm="1">
        <f t="array" ref="J281">INDEX('Talnagögn | Numerical Data'!$1:$1048576, _xlfn.XMATCH($A281,'Talnagögn | Numerical Data'!$B:$B), _xlfn.XMATCH($A$1,'Talnagögn | Numerical Data'!$1:$1))-INDEX('Talnagögn | Numerical Data'!$1:$1048576, _xlfn.XMATCH($A281,'Talnagögn | Numerical Data'!$B:$B), _xlfn.XMATCH($B$2,'Talnagögn | Numerical Data'!$1:$1))</f>
        <v>-568.72412297566552</v>
      </c>
      <c r="K281" s="963" cm="1">
        <f t="array" ref="K281">INDEX('Talnagögn | Numerical Data'!$1:$1048576, _xlfn.XMATCH($A281,'Talnagögn | Numerical Data'!$B:$B), _xlfn.XMATCH($A$1,'Talnagögn | Numerical Data'!$1:$1))/INDEX('Talnagögn | Numerical Data'!$1:$1048576, _xlfn.XMATCH($A281,'Talnagögn | Numerical Data'!$B:$B), _xlfn.XMATCH($B$2,'Talnagögn | Numerical Data'!$1:$1))-1</f>
        <v>-8.5534448703642463E-2</v>
      </c>
      <c r="M281" s="307" t="s">
        <v>12</v>
      </c>
      <c r="N281" s="311" cm="1">
        <f t="array" ref="N281">INDEX('Talnagögn | Numerical Data'!$1:$1048576, _xlfn.XMATCH($B281,'Talnagögn | Numerical Data'!$C:$C), _xlfn.XMATCH($B$4,'Talnagögn | Numerical Data'!$1:$1))-INDEX('Talnagögn | Numerical Data'!$1:$1048576, _xlfn.XMATCH($A281,'Talnagögn | Numerical Data'!$C:$C), _xlfn.XMATCH($B$2,'Talnagögn | Numerical Data'!$1:$1))</f>
        <v>-1129.7228351973372</v>
      </c>
      <c r="O281" s="964" cm="1">
        <f t="array" ref="O281">INDEX('Talnagögn | Numerical Data'!$1:$1048576, _xlfn.XMATCH($B281,'Talnagögn | Numerical Data'!$C:$C), _xlfn.XMATCH($B$4,'Talnagögn | Numerical Data'!$1:$1))/INDEX('Talnagögn | Numerical Data'!$1:$1048576, _xlfn.XMATCH($A281,'Talnagögn | Numerical Data'!$C:$C), _xlfn.XMATCH($B$2,'Talnagögn | Numerical Data'!$1:$1))-1</f>
        <v>-0.16990701817066201</v>
      </c>
      <c r="S281" s="103"/>
      <c r="U281" s="307" t="s">
        <v>145</v>
      </c>
      <c r="V281" s="308" cm="1">
        <f t="array" ref="V281">INDEX('Talnagögn | Numerical Data'!$1:$1048576,_xlfn.XMATCH($A281,'Talnagögn | Numerical Data'!$B:$B),_xlfn.XMATCH($A$1,'Talnagögn | Numerical Data'!$1:$1))</f>
        <v>6080.3410384327608</v>
      </c>
      <c r="W281" s="309">
        <f>SUM(W276:W280)</f>
        <v>0.99999999999999989</v>
      </c>
      <c r="X281" s="308" cm="1">
        <f t="array" ref="X281">INDEX('Talnagögn | Numerical Data'!$1:$1048576, _xlfn.XMATCH($A281,'Talnagögn | Numerical Data'!$B:$B), _xlfn.XMATCH($A$1,'Talnagögn | Numerical Data'!$1:$1))-INDEX('Talnagögn | Numerical Data'!$1:$1048576, _xlfn.XMATCH($A281,'Talnagögn | Numerical Data'!$B:$B), _xlfn.XMATCH($B$3,'Talnagögn | Numerical Data'!$1:$1))</f>
        <v>-135.57528168190584</v>
      </c>
      <c r="Y281" s="968" cm="1">
        <f t="array" ref="Y281">INDEX('Talnagögn | Numerical Data'!$1:$1048576, _xlfn.XMATCH($A281,'Talnagögn | Numerical Data'!$B:$B), _xlfn.XMATCH($A$1,'Talnagögn | Numerical Data'!$1:$1))/INDEX('Talnagögn | Numerical Data'!$1:$1048576, _xlfn.XMATCH($A281,'Talnagögn | Numerical Data'!$B:$B), _xlfn.XMATCH($B$3,'Talnagögn | Numerical Data'!$1:$1))-1</f>
        <v>-2.1810988871131531E-2</v>
      </c>
      <c r="Z281" s="969" cm="1">
        <f t="array" ref="Z281">INDEX('Talnagögn | Numerical Data'!$1:$1048576, _xlfn.XMATCH($A281,'Talnagögn | Numerical Data'!$B:$B), _xlfn.XMATCH($A$1,'Talnagögn | Numerical Data'!$1:$1))-INDEX('Talnagögn | Numerical Data'!$1:$1048576, _xlfn.XMATCH($A281,'Talnagögn | Numerical Data'!$B:$B), _xlfn.XMATCH($B$2,'Talnagögn | Numerical Data'!$1:$1))</f>
        <v>-568.72412297566552</v>
      </c>
      <c r="AA281" s="970" cm="1">
        <f t="array" ref="AA281">INDEX('Talnagögn | Numerical Data'!$1:$1048576, _xlfn.XMATCH($A281,'Talnagögn | Numerical Data'!$B:$B), _xlfn.XMATCH($A$1,'Talnagögn | Numerical Data'!$1:$1))/INDEX('Talnagögn | Numerical Data'!$1:$1048576, _xlfn.XMATCH($A281,'Talnagögn | Numerical Data'!$B:$B), _xlfn.XMATCH($B$2,'Talnagögn | Numerical Data'!$1:$1))-1</f>
        <v>-8.5534448703642463E-2</v>
      </c>
      <c r="AB281" s="293"/>
      <c r="AC281" s="307" t="s">
        <v>145</v>
      </c>
      <c r="AD281" s="311" cm="1">
        <f t="array" ref="AD281">INDEX('Talnagögn | Numerical Data'!$1:$1048576, _xlfn.XMATCH($B281,'Talnagögn | Numerical Data'!$C:$C), _xlfn.XMATCH($B$4,'Talnagögn | Numerical Data'!$1:$1))-INDEX('Talnagögn | Numerical Data'!$1:$1048576, _xlfn.XMATCH($A281,'Talnagögn | Numerical Data'!$C:$C), _xlfn.XMATCH($B$2,'Talnagögn | Numerical Data'!$1:$1))</f>
        <v>-1129.7228351973372</v>
      </c>
      <c r="AE281" s="972" cm="1">
        <f t="array" ref="AE281">INDEX('Talnagögn | Numerical Data'!$1:$1048576, _xlfn.XMATCH($B281,'Talnagögn | Numerical Data'!$C:$C), _xlfn.XMATCH($B$4,'Talnagögn | Numerical Data'!$1:$1))/INDEX('Talnagögn | Numerical Data'!$1:$1048576, _xlfn.XMATCH($A281,'Talnagögn | Numerical Data'!$C:$C), _xlfn.XMATCH($B$2,'Talnagögn | Numerical Data'!$1:$1))-1</f>
        <v>-0.16990701817066201</v>
      </c>
    </row>
    <row r="282" spans="1:31" x14ac:dyDescent="0.4">
      <c r="S282" s="103"/>
      <c r="AB282" s="293"/>
    </row>
    <row r="283" spans="1:31" x14ac:dyDescent="0.4">
      <c r="S283" s="103"/>
      <c r="AB283" s="293"/>
    </row>
    <row r="284" spans="1:31" x14ac:dyDescent="0.4">
      <c r="S284" s="103"/>
    </row>
    <row r="285" spans="1:31" x14ac:dyDescent="0.4">
      <c r="S285" s="103"/>
    </row>
    <row r="286" spans="1:31" x14ac:dyDescent="0.4">
      <c r="S286" s="103"/>
    </row>
    <row r="287" spans="1:31" x14ac:dyDescent="0.4">
      <c r="S287" s="103"/>
    </row>
    <row r="288" spans="1:31" x14ac:dyDescent="0.4">
      <c r="S288" s="103"/>
    </row>
    <row r="289" spans="19:19" x14ac:dyDescent="0.4">
      <c r="S289" s="103"/>
    </row>
    <row r="290" spans="19:19" x14ac:dyDescent="0.4">
      <c r="S290" s="103"/>
    </row>
    <row r="291" spans="19:19" x14ac:dyDescent="0.4">
      <c r="S291" s="103"/>
    </row>
    <row r="292" spans="19:19" x14ac:dyDescent="0.4">
      <c r="S292" s="103"/>
    </row>
    <row r="293" spans="19:19" x14ac:dyDescent="0.4">
      <c r="S293" s="103"/>
    </row>
    <row r="294" spans="19:19" x14ac:dyDescent="0.4">
      <c r="S294" s="103"/>
    </row>
    <row r="295" spans="19:19" x14ac:dyDescent="0.4">
      <c r="S295" s="103"/>
    </row>
    <row r="296" spans="19:19" x14ac:dyDescent="0.4">
      <c r="S296" s="103"/>
    </row>
    <row r="297" spans="19:19" x14ac:dyDescent="0.4">
      <c r="S297" s="103"/>
    </row>
    <row r="298" spans="19:19" x14ac:dyDescent="0.4">
      <c r="S298" s="103"/>
    </row>
    <row r="299" spans="19:19" x14ac:dyDescent="0.4">
      <c r="S299" s="103"/>
    </row>
    <row r="300" spans="19:19" x14ac:dyDescent="0.4">
      <c r="S300" s="103"/>
    </row>
    <row r="301" spans="19:19" x14ac:dyDescent="0.4">
      <c r="S301" s="103"/>
    </row>
    <row r="302" spans="19:19" x14ac:dyDescent="0.4">
      <c r="S302" s="103"/>
    </row>
    <row r="303" spans="19:19" x14ac:dyDescent="0.4">
      <c r="S303" s="103"/>
    </row>
    <row r="304" spans="19:19" x14ac:dyDescent="0.4">
      <c r="S304" s="103"/>
    </row>
    <row r="305" spans="1:30" s="314" customFormat="1" ht="27" customHeight="1" x14ac:dyDescent="0.4">
      <c r="A305" s="644"/>
      <c r="B305" s="644"/>
      <c r="C305" s="644"/>
      <c r="E305" s="728" t="str">
        <f>UPPER('Talnagögn | Numerical Data'!$E$5)</f>
        <v>SÖGULEG LOSUN</v>
      </c>
      <c r="F305" s="728"/>
      <c r="G305" s="728"/>
      <c r="H305" s="728"/>
      <c r="I305" s="728"/>
      <c r="J305" s="728"/>
      <c r="K305" s="728"/>
      <c r="L305" s="728"/>
      <c r="M305" s="728"/>
      <c r="N305" s="728"/>
      <c r="O305" s="728"/>
      <c r="P305" s="728"/>
      <c r="Q305" s="728"/>
      <c r="R305" s="728"/>
      <c r="S305" s="729"/>
      <c r="T305" s="728"/>
      <c r="U305" s="728" t="str">
        <f>UPPER('Talnagögn | Numerical Data'!$G$5)</f>
        <v>HISTORICAL EMISSIONS</v>
      </c>
      <c r="V305" s="315"/>
      <c r="X305" s="315"/>
      <c r="Z305" s="315"/>
      <c r="AD305" s="315"/>
    </row>
    <row r="306" spans="1:30" x14ac:dyDescent="0.4">
      <c r="S306" s="103"/>
    </row>
    <row r="307" spans="1:30" x14ac:dyDescent="0.4">
      <c r="S307" s="103"/>
    </row>
    <row r="308" spans="1:30" x14ac:dyDescent="0.4">
      <c r="S308" s="103"/>
    </row>
    <row r="309" spans="1:30" x14ac:dyDescent="0.4">
      <c r="S309" s="103"/>
    </row>
    <row r="310" spans="1:30" x14ac:dyDescent="0.4">
      <c r="S310" s="103"/>
    </row>
    <row r="311" spans="1:30" x14ac:dyDescent="0.4">
      <c r="S311" s="103"/>
    </row>
    <row r="312" spans="1:30" x14ac:dyDescent="0.4">
      <c r="S312" s="103"/>
    </row>
    <row r="313" spans="1:30" x14ac:dyDescent="0.4">
      <c r="S313" s="103"/>
    </row>
    <row r="314" spans="1:30" x14ac:dyDescent="0.4">
      <c r="S314" s="103"/>
    </row>
    <row r="315" spans="1:30" x14ac:dyDescent="0.4">
      <c r="S315" s="103"/>
    </row>
    <row r="316" spans="1:30" x14ac:dyDescent="0.4">
      <c r="S316" s="103"/>
    </row>
    <row r="317" spans="1:30" x14ac:dyDescent="0.4">
      <c r="S317" s="103"/>
    </row>
    <row r="318" spans="1:30" x14ac:dyDescent="0.4">
      <c r="S318" s="103"/>
    </row>
    <row r="319" spans="1:30" x14ac:dyDescent="0.4">
      <c r="S319" s="103"/>
    </row>
    <row r="320" spans="1:30" x14ac:dyDescent="0.4">
      <c r="S320" s="103"/>
    </row>
    <row r="321" spans="1:30" x14ac:dyDescent="0.4">
      <c r="S321" s="103"/>
    </row>
    <row r="322" spans="1:30" x14ac:dyDescent="0.4">
      <c r="S322" s="103"/>
    </row>
    <row r="323" spans="1:30" x14ac:dyDescent="0.4">
      <c r="S323" s="103"/>
    </row>
    <row r="324" spans="1:30" x14ac:dyDescent="0.4">
      <c r="S324" s="103"/>
    </row>
    <row r="325" spans="1:30" x14ac:dyDescent="0.4">
      <c r="S325" s="103"/>
    </row>
    <row r="326" spans="1:30" x14ac:dyDescent="0.4">
      <c r="S326" s="103"/>
    </row>
    <row r="327" spans="1:30" x14ac:dyDescent="0.4">
      <c r="S327" s="103"/>
    </row>
    <row r="328" spans="1:30" s="314" customFormat="1" ht="27" customHeight="1" x14ac:dyDescent="0.4">
      <c r="A328" s="644"/>
      <c r="B328" s="644"/>
      <c r="C328" s="644"/>
      <c r="E328" s="728" t="str">
        <f>$E$66</f>
        <v>LOSUNARSPÁ: SVIÐSMYND BYGGÐ Á AÐGERÐUM STJÓRNVALDA</v>
      </c>
      <c r="F328" s="728"/>
      <c r="G328" s="728"/>
      <c r="H328" s="728"/>
      <c r="I328" s="728"/>
      <c r="J328" s="728"/>
      <c r="K328" s="728"/>
      <c r="L328" s="728"/>
      <c r="M328" s="728"/>
      <c r="N328" s="728"/>
      <c r="O328" s="728"/>
      <c r="P328" s="728"/>
      <c r="Q328" s="728"/>
      <c r="R328" s="728"/>
      <c r="S328" s="729"/>
      <c r="T328" s="728"/>
      <c r="U328" s="728" t="str">
        <f>$U$66</f>
        <v>EMISSION PROJECTIONS: GOVERNMENT POLICY-BASED SCENARIO</v>
      </c>
      <c r="V328" s="315"/>
      <c r="X328" s="315"/>
      <c r="Z328" s="315"/>
      <c r="AD328" s="315"/>
    </row>
    <row r="329" spans="1:30" x14ac:dyDescent="0.4">
      <c r="B329" s="645"/>
      <c r="C329" s="645"/>
      <c r="D329" s="131" t="s">
        <v>44</v>
      </c>
      <c r="S329" s="103"/>
      <c r="V329" s="21"/>
      <c r="X329" s="21"/>
      <c r="Z329" s="21"/>
      <c r="AD329" s="21"/>
    </row>
    <row r="330" spans="1:30" x14ac:dyDescent="0.4">
      <c r="B330" s="645"/>
      <c r="C330" s="645"/>
      <c r="D330" s="131" t="s">
        <v>44</v>
      </c>
      <c r="S330" s="103"/>
      <c r="V330" s="21"/>
      <c r="X330" s="21"/>
      <c r="Z330" s="21"/>
      <c r="AD330" s="21"/>
    </row>
    <row r="331" spans="1:30" s="5" customFormat="1" x14ac:dyDescent="0.4">
      <c r="A331" s="27"/>
      <c r="B331" s="645"/>
      <c r="C331" s="645"/>
      <c r="S331" s="103"/>
    </row>
    <row r="332" spans="1:30" s="5" customFormat="1" x14ac:dyDescent="0.4">
      <c r="A332" s="27"/>
      <c r="B332" s="645"/>
      <c r="C332" s="645"/>
      <c r="S332" s="103"/>
    </row>
    <row r="333" spans="1:30" s="5" customFormat="1" x14ac:dyDescent="0.4">
      <c r="A333" s="27"/>
      <c r="B333" s="645"/>
      <c r="C333" s="645"/>
      <c r="S333" s="103"/>
    </row>
    <row r="334" spans="1:30" s="5" customFormat="1" x14ac:dyDescent="0.4">
      <c r="A334" s="27"/>
      <c r="B334" s="645"/>
      <c r="C334" s="645"/>
      <c r="S334" s="103"/>
    </row>
    <row r="335" spans="1:30" s="5" customFormat="1" x14ac:dyDescent="0.4">
      <c r="A335" s="27"/>
      <c r="B335" s="50"/>
      <c r="C335" s="645"/>
      <c r="S335" s="103"/>
    </row>
    <row r="336" spans="1:30" s="5" customFormat="1" x14ac:dyDescent="0.4">
      <c r="A336" s="27"/>
      <c r="B336" s="50"/>
      <c r="C336" s="645"/>
      <c r="S336" s="103"/>
    </row>
    <row r="337" spans="1:19" s="5" customFormat="1" x14ac:dyDescent="0.4">
      <c r="A337" s="27"/>
      <c r="B337" s="645"/>
      <c r="C337" s="645"/>
      <c r="S337" s="103"/>
    </row>
    <row r="338" spans="1:19" s="5" customFormat="1" x14ac:dyDescent="0.4">
      <c r="A338" s="27"/>
      <c r="B338" s="645"/>
      <c r="C338" s="645"/>
      <c r="S338" s="103"/>
    </row>
    <row r="339" spans="1:19" s="5" customFormat="1" x14ac:dyDescent="0.4">
      <c r="A339" s="27"/>
      <c r="B339" s="645"/>
      <c r="C339" s="645"/>
      <c r="S339" s="103"/>
    </row>
    <row r="340" spans="1:19" s="5" customFormat="1" x14ac:dyDescent="0.4">
      <c r="A340" s="27"/>
      <c r="B340" s="645"/>
      <c r="C340" s="645"/>
      <c r="S340" s="103"/>
    </row>
    <row r="341" spans="1:19" s="5" customFormat="1" x14ac:dyDescent="0.4">
      <c r="A341" s="27"/>
      <c r="B341" s="645"/>
      <c r="C341" s="645"/>
      <c r="S341" s="103"/>
    </row>
    <row r="342" spans="1:19" s="5" customFormat="1" x14ac:dyDescent="0.4">
      <c r="A342" s="27"/>
      <c r="B342" s="645"/>
      <c r="C342" s="645"/>
      <c r="S342" s="103"/>
    </row>
    <row r="343" spans="1:19" s="5" customFormat="1" x14ac:dyDescent="0.4">
      <c r="A343" s="27"/>
      <c r="B343" s="645"/>
      <c r="C343" s="645"/>
      <c r="S343" s="103"/>
    </row>
    <row r="344" spans="1:19" s="5" customFormat="1" x14ac:dyDescent="0.4">
      <c r="A344" s="27"/>
      <c r="B344" s="645"/>
      <c r="C344" s="645"/>
      <c r="S344" s="103"/>
    </row>
    <row r="345" spans="1:19" s="5" customFormat="1" x14ac:dyDescent="0.4">
      <c r="A345" s="27"/>
      <c r="B345" s="645"/>
      <c r="C345" s="645"/>
      <c r="S345" s="103"/>
    </row>
    <row r="346" spans="1:19" s="5" customFormat="1" x14ac:dyDescent="0.4">
      <c r="A346" s="27"/>
      <c r="B346" s="645"/>
      <c r="C346" s="645"/>
      <c r="S346" s="103"/>
    </row>
    <row r="347" spans="1:19" s="5" customFormat="1" x14ac:dyDescent="0.4">
      <c r="A347" s="27"/>
      <c r="B347" s="645"/>
      <c r="C347" s="645"/>
      <c r="S347" s="103"/>
    </row>
    <row r="348" spans="1:19" s="5" customFormat="1" x14ac:dyDescent="0.4">
      <c r="A348" s="27"/>
      <c r="B348" s="645"/>
      <c r="C348" s="645"/>
      <c r="S348" s="103"/>
    </row>
    <row r="349" spans="1:19" s="5" customFormat="1" x14ac:dyDescent="0.4">
      <c r="A349" s="27"/>
      <c r="B349" s="645"/>
      <c r="C349" s="645"/>
      <c r="S349" s="103"/>
    </row>
    <row r="350" spans="1:19" x14ac:dyDescent="0.4">
      <c r="S350" s="103"/>
    </row>
    <row r="351" spans="1:19" x14ac:dyDescent="0.4">
      <c r="S351" s="103"/>
    </row>
    <row r="352" spans="1:19" x14ac:dyDescent="0.4">
      <c r="S352" s="103"/>
    </row>
    <row r="353" spans="1:31" x14ac:dyDescent="0.4">
      <c r="S353" s="103"/>
    </row>
    <row r="354" spans="1:31" s="803" customFormat="1" ht="83.25" customHeight="1" x14ac:dyDescent="0.4">
      <c r="A354" s="802"/>
      <c r="B354" s="802"/>
      <c r="C354" s="802"/>
      <c r="E354" s="804" t="s">
        <v>340</v>
      </c>
      <c r="S354" s="805"/>
      <c r="U354" s="804" t="s">
        <v>341</v>
      </c>
      <c r="V354" s="806"/>
      <c r="X354" s="806"/>
      <c r="Z354" s="806"/>
      <c r="AD354" s="806"/>
    </row>
    <row r="355" spans="1:31" x14ac:dyDescent="0.4">
      <c r="S355" s="103"/>
    </row>
    <row r="356" spans="1:31" ht="52.2" customHeight="1" x14ac:dyDescent="0.4">
      <c r="C356" s="26" t="s">
        <v>44</v>
      </c>
      <c r="D356" s="20" t="s">
        <v>44</v>
      </c>
      <c r="E356" s="1373" t="str">
        <f>"STAÐAN ÁRIÐ "&amp;$A$1</f>
        <v>STAÐAN ÁRIÐ 2025</v>
      </c>
      <c r="F356" s="1377"/>
      <c r="G356" s="1378"/>
      <c r="H356" s="1378"/>
      <c r="I356" s="1378"/>
      <c r="J356" s="1378"/>
      <c r="K356" s="1378"/>
      <c r="L356" s="326"/>
      <c r="M356" s="1373" t="str">
        <f>$M$5</f>
        <v>FRAMTÍÐARHORFUR</v>
      </c>
      <c r="N356" s="1357" t="str">
        <f>$N$5</f>
        <v>Áætluð breyting í losun milli 2005 og 2030</v>
      </c>
      <c r="O356" s="1358"/>
      <c r="S356" s="103"/>
      <c r="U356" s="1373" t="str">
        <f>$A$1&amp;" EMISSIONS"</f>
        <v>2025 EMISSIONS</v>
      </c>
      <c r="V356" s="1355"/>
      <c r="W356" s="1356"/>
      <c r="X356" s="1356"/>
      <c r="Y356" s="1356"/>
      <c r="Z356" s="1356"/>
      <c r="AA356" s="1356"/>
      <c r="AB356" s="326"/>
      <c r="AC356" s="1373" t="s">
        <v>334</v>
      </c>
      <c r="AD356" s="1357" t="str">
        <f>$AD$5</f>
        <v>Estimated change in emissions between 2005 and 2030</v>
      </c>
      <c r="AE356" s="1358"/>
    </row>
    <row r="357" spans="1:31" ht="16.95" customHeight="1" x14ac:dyDescent="0.4">
      <c r="E357" s="1373"/>
      <c r="F357" s="1361" t="str">
        <f>$F$6</f>
        <v>Losun 2025</v>
      </c>
      <c r="G357" s="1359"/>
      <c r="H357" s="1359" t="str">
        <f>$H$6</f>
        <v>Breyting frá 2024</v>
      </c>
      <c r="I357" s="1360"/>
      <c r="J357" s="1359" t="str">
        <f>$J$6</f>
        <v>Breyting frá 2005</v>
      </c>
      <c r="K357" s="1359"/>
      <c r="L357" s="326"/>
      <c r="M357" s="1373"/>
      <c r="N357" s="1369" t="str">
        <f>$N$6</f>
        <v>Losunarspá: Sviðsmynd byggð á aðgerðum stjórnvalda</v>
      </c>
      <c r="O357" s="1370"/>
      <c r="S357" s="103"/>
      <c r="U357" s="1373"/>
      <c r="V357" s="1361" t="str">
        <f>$V$6</f>
        <v>Emissions in 2025</v>
      </c>
      <c r="W357" s="1359"/>
      <c r="X357" s="1359" t="str">
        <f>$X$6</f>
        <v>Change from 2024</v>
      </c>
      <c r="Y357" s="1360"/>
      <c r="Z357" s="1359" t="str">
        <f>$Z$6</f>
        <v>Change from 2005</v>
      </c>
      <c r="AA357" s="1359"/>
      <c r="AB357" s="326"/>
      <c r="AC357" s="1373"/>
      <c r="AD357" s="1369" t="str">
        <f>$AD$6</f>
        <v>Emission Projections: Government Policy-Based Scenario</v>
      </c>
      <c r="AE357" s="1370"/>
    </row>
    <row r="358" spans="1:31" ht="24.6" customHeight="1" thickBot="1" x14ac:dyDescent="0.45">
      <c r="E358" s="1373"/>
      <c r="F358" s="325" t="str">
        <f>$F$7</f>
        <v>Þús. tonn CO₂-íg.</v>
      </c>
      <c r="G358" s="338" t="s">
        <v>4</v>
      </c>
      <c r="H358" s="338" t="str">
        <f>$F$7</f>
        <v>Þús. tonn CO₂-íg.</v>
      </c>
      <c r="I358" s="339" t="s">
        <v>4</v>
      </c>
      <c r="J358" s="325" t="str">
        <f>$F$7</f>
        <v>Þús. tonn CO₂-íg.</v>
      </c>
      <c r="K358" s="325" t="s">
        <v>4</v>
      </c>
      <c r="L358" s="326"/>
      <c r="M358" s="1374"/>
      <c r="N358" s="325" t="str">
        <f>$F$7</f>
        <v>Þús. tonn CO₂-íg.</v>
      </c>
      <c r="O358" s="325" t="s">
        <v>4</v>
      </c>
      <c r="S358" s="103"/>
      <c r="U358" s="1373"/>
      <c r="V358" s="325" t="str">
        <f>$V$7</f>
        <v>Thousand tons CO₂e</v>
      </c>
      <c r="W358" s="338" t="s">
        <v>4</v>
      </c>
      <c r="X358" s="338" t="str">
        <f>$V$7</f>
        <v>Thousand tons CO₂e</v>
      </c>
      <c r="Y358" s="339" t="s">
        <v>4</v>
      </c>
      <c r="Z358" s="325" t="str">
        <f>$V$7</f>
        <v>Thousand tons CO₂e</v>
      </c>
      <c r="AA358" s="325" t="s">
        <v>4</v>
      </c>
      <c r="AB358" s="326"/>
      <c r="AC358" s="1374"/>
      <c r="AD358" s="325" t="str">
        <f>$V$7</f>
        <v>Thousand tons CO₂e</v>
      </c>
      <c r="AE358" s="325" t="s">
        <v>4</v>
      </c>
    </row>
    <row r="359" spans="1:31" ht="30" customHeight="1" thickTop="1" x14ac:dyDescent="0.4">
      <c r="A359" s="27" t="s">
        <v>80</v>
      </c>
      <c r="B359" s="88" t="s">
        <v>321</v>
      </c>
      <c r="C359" s="88" t="s">
        <v>44</v>
      </c>
      <c r="D359" s="20" t="s">
        <v>44</v>
      </c>
      <c r="E359" s="329" t="str">
        <f>'Talnagögn | Numerical Data'!$E$322</f>
        <v>Eldsneytisbruni, staðbundinn iðnaður</v>
      </c>
      <c r="F359" s="319" cm="1">
        <f t="array" ref="F359">INDEX('Talnagögn | Numerical Data'!$1:$1048576, _xlfn.XMATCH($A359,'Talnagögn | Numerical Data'!$B:$B), _xlfn.XMATCH($A$1,'Talnagögn | Numerical Data'!$1:$1))</f>
        <v>5.2888553506420521</v>
      </c>
      <c r="G359" s="327">
        <f>F359/$F$362</f>
        <v>3.1545417311268226E-3</v>
      </c>
      <c r="H359" s="973" cm="1">
        <f t="array" ref="H359">INDEX('Talnagögn | Numerical Data'!$1:$1048576, _xlfn.XMATCH($A359,'Talnagögn | Numerical Data'!$B:$B), _xlfn.XMATCH($A$1,'Talnagögn | Numerical Data'!$1:$1))-INDEX('Talnagögn | Numerical Data'!$1:$1048576, _xlfn.XMATCH($A359,'Talnagögn | Numerical Data'!$B:$B), _xlfn.XMATCH($B$3,'Talnagögn | Numerical Data'!$1:$1))</f>
        <v>-0.94185904555027289</v>
      </c>
      <c r="I359" s="328" cm="1">
        <f t="array" ref="I359">IFERROR(INDEX('Talnagögn | Numerical Data'!$1:$1048576, _xlfn.XMATCH($A359,'Talnagögn | Numerical Data'!$B:$B), _xlfn.XMATCH($A$1,'Talnagögn | Numerical Data'!$1:$1))/INDEX('Talnagögn | Numerical Data'!$1:$1048576, _xlfn.XMATCH($A359,'Talnagögn | Numerical Data'!$B:$B), _xlfn.XMATCH($B$3,'Talnagögn | Numerical Data'!$1:$1))-1,"—")</f>
        <v>-0.15116389320073087</v>
      </c>
      <c r="J359" s="320" cm="1">
        <f t="array" ref="J359">INDEX('Talnagögn | Numerical Data'!$1:$1048576, _xlfn.XMATCH($A359,'Talnagögn | Numerical Data'!$B:$B), _xlfn.XMATCH($A$1,'Talnagögn | Numerical Data'!$1:$1))-INDEX('Talnagögn | Numerical Data'!$1:$1048576, _xlfn.XMATCH($A359,'Talnagögn | Numerical Data'!$B:$B), _xlfn.XMATCH($B$2,'Talnagögn | Numerical Data'!$1:$1))</f>
        <v>-25.949629568657947</v>
      </c>
      <c r="K359" s="321" cm="1">
        <f t="array" ref="K359">IFERROR(INDEX('Talnagögn | Numerical Data'!$1:$1048576, _xlfn.XMATCH($A359,'Talnagögn | Numerical Data'!$B:$B), _xlfn.XMATCH($A$1,'Talnagögn | Numerical Data'!$1:$1))/INDEX('Talnagögn | Numerical Data'!$1:$1048576, _xlfn.XMATCH($A359,'Talnagögn | Numerical Data'!$B:$B), _xlfn.XMATCH($B$2,'Talnagögn | Numerical Data'!$1:$1))-1,"—")</f>
        <v>-0.83069424255673641</v>
      </c>
      <c r="L359" s="321"/>
      <c r="M359" s="329" t="str">
        <f>'Talnagögn | Numerical Data'!$E$322</f>
        <v>Eldsneytisbruni, staðbundinn iðnaður</v>
      </c>
      <c r="N359" s="320" cm="1">
        <f t="array" ref="N359">INDEX('Talnagögn | Numerical Data'!$1:$1048576, _xlfn.XMATCH($B359,'Talnagögn | Numerical Data'!$C:$C), _xlfn.XMATCH($B$4,'Talnagögn | Numerical Data'!$1:$1))-INDEX('Talnagögn | Numerical Data'!$1:$1048576, _xlfn.XMATCH($A359,'Talnagögn | Numerical Data'!$B:$B), _xlfn.XMATCH($B$2,'Talnagögn | Numerical Data'!$1:$1))</f>
        <v>-25.631025507584745</v>
      </c>
      <c r="O359" s="322" cm="1">
        <f t="array" ref="O359">INDEX('Talnagögn | Numerical Data'!$1:$1048576, _xlfn.XMATCH($B359,'Talnagögn | Numerical Data'!$C:$C), _xlfn.XMATCH($B$4,'Talnagögn | Numerical Data'!$1:$1))/INDEX('Talnagögn | Numerical Data'!$1:$1048576, _xlfn.XMATCH($A359,'Talnagögn | Numerical Data'!$B:$B), _xlfn.XMATCH($B$2,'Talnagögn | Numerical Data'!$1:$1))-1</f>
        <v>-0.8204951544160578</v>
      </c>
      <c r="S359" s="103"/>
      <c r="U359" s="329" t="str">
        <f>'Talnagögn | Numerical Data'!$G$322</f>
        <v>Fuel Combustion, Stationary Industry</v>
      </c>
      <c r="V359" s="319" cm="1">
        <f t="array" ref="V359">INDEX('Talnagögn | Numerical Data'!$1:$1048576, _xlfn.XMATCH($A359,'Talnagögn | Numerical Data'!$B:$B), _xlfn.XMATCH($A$1,'Talnagögn | Numerical Data'!$1:$1))</f>
        <v>5.2888553506420521</v>
      </c>
      <c r="W359" s="327">
        <f>V359/$F$362</f>
        <v>3.1545417311268226E-3</v>
      </c>
      <c r="X359" s="974" cm="1">
        <f t="array" ref="X359">INDEX('Talnagögn | Numerical Data'!$1:$1048576, _xlfn.XMATCH($A359,'Talnagögn | Numerical Data'!$B:$B), _xlfn.XMATCH($A$1,'Talnagögn | Numerical Data'!$1:$1))-INDEX('Talnagögn | Numerical Data'!$1:$1048576, _xlfn.XMATCH($A359,'Talnagögn | Numerical Data'!$B:$B), _xlfn.XMATCH($B$3,'Talnagögn | Numerical Data'!$1:$1))</f>
        <v>-0.94185904555027289</v>
      </c>
      <c r="Y359" s="328" cm="1">
        <f t="array" ref="Y359">IFERROR(INDEX('Talnagögn | Numerical Data'!$1:$1048576, _xlfn.XMATCH($A359,'Talnagögn | Numerical Data'!$B:$B), _xlfn.XMATCH($A$1,'Talnagögn | Numerical Data'!$1:$1))/INDEX('Talnagögn | Numerical Data'!$1:$1048576, _xlfn.XMATCH($A359,'Talnagögn | Numerical Data'!$B:$B), _xlfn.XMATCH($B$3,'Talnagögn | Numerical Data'!$1:$1))-1,"—")</f>
        <v>-0.15116389320073087</v>
      </c>
      <c r="Z359" s="320" cm="1">
        <f t="array" ref="Z359">INDEX('Talnagögn | Numerical Data'!$1:$1048576, _xlfn.XMATCH($A359,'Talnagögn | Numerical Data'!$B:$B), _xlfn.XMATCH($A$1,'Talnagögn | Numerical Data'!$1:$1))-INDEX('Talnagögn | Numerical Data'!$1:$1048576, _xlfn.XMATCH($A359,'Talnagögn | Numerical Data'!$B:$B), _xlfn.XMATCH($B$2,'Talnagögn | Numerical Data'!$1:$1))</f>
        <v>-25.949629568657947</v>
      </c>
      <c r="AA359" s="321" cm="1">
        <f t="array" ref="AA359">IFERROR(INDEX('Talnagögn | Numerical Data'!$1:$1048576, _xlfn.XMATCH($A359,'Talnagögn | Numerical Data'!$B:$B), _xlfn.XMATCH($A$1,'Talnagögn | Numerical Data'!$1:$1))/INDEX('Talnagögn | Numerical Data'!$1:$1048576, _xlfn.XMATCH($A359,'Talnagögn | Numerical Data'!$B:$B), _xlfn.XMATCH($B$2,'Talnagögn | Numerical Data'!$1:$1))-1,"—")</f>
        <v>-0.83069424255673641</v>
      </c>
      <c r="AB359" s="321"/>
      <c r="AC359" s="329" t="str">
        <f>'Talnagögn | Numerical Data'!$G$322</f>
        <v>Fuel Combustion, Stationary Industry</v>
      </c>
      <c r="AD359" s="320" cm="1">
        <f t="array" ref="AD359">INDEX('Talnagögn | Numerical Data'!$1:$1048576, _xlfn.XMATCH($B359,'Talnagögn | Numerical Data'!$C:$C), _xlfn.XMATCH($B$4,'Talnagögn | Numerical Data'!$1:$1))-INDEX('Talnagögn | Numerical Data'!$1:$1048576, _xlfn.XMATCH($A359,'Talnagögn | Numerical Data'!$B:$B), _xlfn.XMATCH($B$2,'Talnagögn | Numerical Data'!$1:$1))</f>
        <v>-25.631025507584745</v>
      </c>
      <c r="AE359" s="322" cm="1">
        <f t="array" ref="AE359">INDEX('Talnagögn | Numerical Data'!$1:$1048576, _xlfn.XMATCH($B359,'Talnagögn | Numerical Data'!$C:$C), _xlfn.XMATCH($B$4,'Talnagögn | Numerical Data'!$1:$1))/INDEX('Talnagögn | Numerical Data'!$1:$1048576, _xlfn.XMATCH($A359,'Talnagögn | Numerical Data'!$B:$B), _xlfn.XMATCH($B$2,'Talnagögn | Numerical Data'!$1:$1))-1</f>
        <v>-0.8204951544160578</v>
      </c>
    </row>
    <row r="360" spans="1:31" ht="21" customHeight="1" x14ac:dyDescent="0.4">
      <c r="A360" s="88" t="s">
        <v>355</v>
      </c>
      <c r="B360" s="88" t="s">
        <v>360</v>
      </c>
      <c r="C360" s="88" t="s">
        <v>44</v>
      </c>
      <c r="D360" s="20" t="s">
        <v>44</v>
      </c>
      <c r="E360" s="329" t="str">
        <f>'Talnagögn | Numerical Data'!$E$323</f>
        <v>Kísil- og kísilmálmframleiðsla</v>
      </c>
      <c r="F360" s="320" cm="1">
        <f t="array" ref="F360">INDEX('Talnagögn | Numerical Data'!$1:$1048576, _xlfn.XMATCH($A360,'Talnagögn | Numerical Data'!$B:$B), _xlfn.XMATCH($A$1,'Talnagögn | Numerical Data'!$1:$1))</f>
        <v>380.97920711840749</v>
      </c>
      <c r="G360" s="328">
        <f>F360/$F$362</f>
        <v>0.22723533314268626</v>
      </c>
      <c r="H360" s="320" cm="1">
        <f t="array" ref="H360">INDEX('Talnagögn | Numerical Data'!$1:$1048576, _xlfn.XMATCH($A360,'Talnagögn | Numerical Data'!$B:$B), _xlfn.XMATCH($A$1,'Talnagögn | Numerical Data'!$1:$1))-INDEX('Talnagögn | Numerical Data'!$1:$1048576, _xlfn.XMATCH($A360,'Talnagögn | Numerical Data'!$B:$B), _xlfn.XMATCH($B$3,'Talnagögn | Numerical Data'!$1:$1))</f>
        <v>-141.53091738709253</v>
      </c>
      <c r="I360" s="328" cm="1">
        <f t="array" ref="I360">IFERROR(INDEX('Talnagögn | Numerical Data'!$1:$1048576, _xlfn.XMATCH($A360,'Talnagögn | Numerical Data'!$B:$B), _xlfn.XMATCH($A$1,'Talnagögn | Numerical Data'!$1:$1))/INDEX('Talnagögn | Numerical Data'!$1:$1048576, _xlfn.XMATCH($A360,'Talnagögn | Numerical Data'!$B:$B), _xlfn.XMATCH($B$3,'Talnagögn | Numerical Data'!$1:$1))-1,"—")</f>
        <v>-0.27086732055390583</v>
      </c>
      <c r="J360" s="319" cm="1">
        <f t="array" ref="J360">INDEX('Talnagögn | Numerical Data'!$1:$1048576, _xlfn.XMATCH($A360,'Talnagögn | Numerical Data'!$B:$B), _xlfn.XMATCH($A$1,'Talnagögn | Numerical Data'!$1:$1))-INDEX('Talnagögn | Numerical Data'!$1:$1048576, _xlfn.XMATCH($A360,'Talnagögn | Numerical Data'!$B:$B), _xlfn.XMATCH($B$2,'Talnagögn | Numerical Data'!$1:$1))</f>
        <v>4.1432771120075245</v>
      </c>
      <c r="K360" s="323" cm="1">
        <f t="array" ref="K360">IFERROR(INDEX('Talnagögn | Numerical Data'!$1:$1048576, _xlfn.XMATCH($A360,'Talnagögn | Numerical Data'!$B:$B), _xlfn.XMATCH($A$1,'Talnagögn | Numerical Data'!$1:$1))/INDEX('Talnagögn | Numerical Data'!$1:$1048576, _xlfn.XMATCH($A360,'Talnagögn | Numerical Data'!$B:$B), _xlfn.XMATCH($B$2,'Talnagögn | Numerical Data'!$1:$1))-1,"—")</f>
        <v>1.0994909938490061E-2</v>
      </c>
      <c r="L360" s="323"/>
      <c r="M360" s="329" t="str">
        <f>'Talnagögn | Numerical Data'!$E$323</f>
        <v>Kísil- og kísilmálmframleiðsla</v>
      </c>
      <c r="N360" s="320" cm="1">
        <f t="array" ref="N360">INDEX('Talnagögn | Numerical Data'!$1:$1048576, _xlfn.XMATCH($B360,'Talnagögn | Numerical Data'!$C:$C), _xlfn.XMATCH($B$4,'Talnagögn | Numerical Data'!$1:$1))-INDEX('Talnagögn | Numerical Data'!$1:$1048576, _xlfn.XMATCH($A360,'Talnagögn | Numerical Data'!$B:$B), _xlfn.XMATCH($B$2,'Talnagögn | Numerical Data'!$1:$1))</f>
        <v>120.70454226246676</v>
      </c>
      <c r="O360" s="322" cm="1">
        <f t="array" ref="O360">INDEX('Talnagögn | Numerical Data'!$1:$1048576, _xlfn.XMATCH($B360,'Talnagögn | Numerical Data'!$C:$C), _xlfn.XMATCH($B$4,'Talnagögn | Numerical Data'!$1:$1))/INDEX('Talnagögn | Numerical Data'!$1:$1048576, _xlfn.XMATCH($A360,'Talnagögn | Numerical Data'!$B:$B), _xlfn.XMATCH($B$2,'Talnagögn | Numerical Data'!$1:$1))-1</f>
        <v>0.32031059846235155</v>
      </c>
      <c r="S360" s="103"/>
      <c r="U360" s="329" t="str">
        <f>'Talnagögn | Numerical Data'!$G$323</f>
        <v>Ferrosilicon and Silicon Metal Production</v>
      </c>
      <c r="V360" s="320" cm="1">
        <f t="array" ref="V360">INDEX('Talnagögn | Numerical Data'!$1:$1048576, _xlfn.XMATCH($A360,'Talnagögn | Numerical Data'!$B:$B), _xlfn.XMATCH($A$1,'Talnagögn | Numerical Data'!$1:$1))</f>
        <v>380.97920711840749</v>
      </c>
      <c r="W360" s="328">
        <f>V360/$F$362</f>
        <v>0.22723533314268626</v>
      </c>
      <c r="X360" s="320" cm="1">
        <f t="array" ref="X360">INDEX('Talnagögn | Numerical Data'!$1:$1048576, _xlfn.XMATCH($A360,'Talnagögn | Numerical Data'!$B:$B), _xlfn.XMATCH($A$1,'Talnagögn | Numerical Data'!$1:$1))-INDEX('Talnagögn | Numerical Data'!$1:$1048576, _xlfn.XMATCH($A360,'Talnagögn | Numerical Data'!$B:$B), _xlfn.XMATCH($B$3,'Talnagögn | Numerical Data'!$1:$1))</f>
        <v>-141.53091738709253</v>
      </c>
      <c r="Y360" s="328" cm="1">
        <f t="array" ref="Y360">IFERROR(INDEX('Talnagögn | Numerical Data'!$1:$1048576, _xlfn.XMATCH($A360,'Talnagögn | Numerical Data'!$B:$B), _xlfn.XMATCH($A$1,'Talnagögn | Numerical Data'!$1:$1))/INDEX('Talnagögn | Numerical Data'!$1:$1048576, _xlfn.XMATCH($A360,'Talnagögn | Numerical Data'!$B:$B), _xlfn.XMATCH($B$3,'Talnagögn | Numerical Data'!$1:$1))-1,"—")</f>
        <v>-0.27086732055390583</v>
      </c>
      <c r="Z360" s="975" cm="1">
        <f t="array" ref="Z360">INDEX('Talnagögn | Numerical Data'!$1:$1048576, _xlfn.XMATCH($A360,'Talnagögn | Numerical Data'!$B:$B), _xlfn.XMATCH($A$1,'Talnagögn | Numerical Data'!$1:$1))-INDEX('Talnagögn | Numerical Data'!$1:$1048576, _xlfn.XMATCH($A360,'Talnagögn | Numerical Data'!$B:$B), _xlfn.XMATCH($B$2,'Talnagögn | Numerical Data'!$1:$1))</f>
        <v>4.1432771120075245</v>
      </c>
      <c r="AA360" s="976" cm="1">
        <f t="array" ref="AA360">IFERROR(INDEX('Talnagögn | Numerical Data'!$1:$1048576, _xlfn.XMATCH($A360,'Talnagögn | Numerical Data'!$B:$B), _xlfn.XMATCH($A$1,'Talnagögn | Numerical Data'!$1:$1))/INDEX('Talnagögn | Numerical Data'!$1:$1048576, _xlfn.XMATCH($A360,'Talnagögn | Numerical Data'!$B:$B), _xlfn.XMATCH($B$2,'Talnagögn | Numerical Data'!$1:$1))-1,"—")</f>
        <v>1.0994909938490061E-2</v>
      </c>
      <c r="AB360" s="323"/>
      <c r="AC360" s="329" t="str">
        <f>'Talnagögn | Numerical Data'!$G$323</f>
        <v>Ferrosilicon and Silicon Metal Production</v>
      </c>
      <c r="AD360" s="320" cm="1">
        <f t="array" ref="AD360">INDEX('Talnagögn | Numerical Data'!$1:$1048576, _xlfn.XMATCH($B360,'Talnagögn | Numerical Data'!$C:$C), _xlfn.XMATCH($B$4,'Talnagögn | Numerical Data'!$1:$1))-INDEX('Talnagögn | Numerical Data'!$1:$1048576, _xlfn.XMATCH($A360,'Talnagögn | Numerical Data'!$B:$B), _xlfn.XMATCH($B$2,'Talnagögn | Numerical Data'!$1:$1))</f>
        <v>120.70454226246676</v>
      </c>
      <c r="AE360" s="322" cm="1">
        <f t="array" ref="AE360">INDEX('Talnagögn | Numerical Data'!$1:$1048576, _xlfn.XMATCH($B360,'Talnagögn | Numerical Data'!$C:$C), _xlfn.XMATCH($B$4,'Talnagögn | Numerical Data'!$1:$1))/INDEX('Talnagögn | Numerical Data'!$1:$1048576, _xlfn.XMATCH($A360,'Talnagögn | Numerical Data'!$B:$B), _xlfn.XMATCH($B$2,'Talnagögn | Numerical Data'!$1:$1))-1</f>
        <v>0.32031059846235155</v>
      </c>
    </row>
    <row r="361" spans="1:31" ht="21" customHeight="1" x14ac:dyDescent="0.4">
      <c r="A361" s="88" t="s">
        <v>356</v>
      </c>
      <c r="B361" s="88" t="s">
        <v>361</v>
      </c>
      <c r="C361" s="88" t="s">
        <v>44</v>
      </c>
      <c r="D361" s="20" t="s">
        <v>44</v>
      </c>
      <c r="E361" s="333" t="str">
        <f>'Talnagögn | Numerical Data'!$E$324</f>
        <v>Álframleiðsla</v>
      </c>
      <c r="F361" s="331" cm="1">
        <f t="array" ref="F361">INDEX('Talnagögn | Numerical Data'!$1:$1048576, _xlfn.XMATCH($A361,'Talnagögn | Numerical Data'!$B:$B), _xlfn.XMATCH($A$1,'Talnagögn | Numerical Data'!$1:$1))</f>
        <v>1290.3163042728158</v>
      </c>
      <c r="G361" s="631">
        <f>F361/$F$362</f>
        <v>0.76961012512618687</v>
      </c>
      <c r="H361" s="331" cm="1">
        <f t="array" ref="H361">INDEX('Talnagögn | Numerical Data'!$1:$1048576, _xlfn.XMATCH($A361,'Talnagögn | Numerical Data'!$B:$B), _xlfn.XMATCH($A$1,'Talnagögn | Numerical Data'!$1:$1))-INDEX('Talnagögn | Numerical Data'!$1:$1048576, _xlfn.XMATCH($A361,'Talnagögn | Numerical Data'!$B:$B), _xlfn.XMATCH($B$3,'Talnagögn | Numerical Data'!$1:$1))</f>
        <v>-70.095350678775731</v>
      </c>
      <c r="I361" s="330" cm="1">
        <f t="array" ref="I361">IFERROR(INDEX('Talnagögn | Numerical Data'!$1:$1048576, _xlfn.XMATCH($A361,'Talnagögn | Numerical Data'!$B:$B), _xlfn.XMATCH($A$1,'Talnagögn | Numerical Data'!$1:$1))/INDEX('Talnagögn | Numerical Data'!$1:$1048576, _xlfn.XMATCH($A361,'Talnagögn | Numerical Data'!$B:$B), _xlfn.XMATCH($B$3,'Talnagögn | Numerical Data'!$1:$1))-1,"—")</f>
        <v>-5.152510302572344E-2</v>
      </c>
      <c r="J361" s="331" cm="1">
        <f t="array" ref="J361">INDEX('Talnagögn | Numerical Data'!$1:$1048576, _xlfn.XMATCH($A361,'Talnagögn | Numerical Data'!$B:$B), _xlfn.XMATCH($A$1,'Talnagögn | Numerical Data'!$1:$1))-INDEX('Talnagögn | Numerical Data'!$1:$1048576, _xlfn.XMATCH($A361,'Talnagögn | Numerical Data'!$B:$B), _xlfn.XMATCH($B$2,'Talnagögn | Numerical Data'!$1:$1))</f>
        <v>845.50778810572865</v>
      </c>
      <c r="K361" s="332" cm="1">
        <f t="array" ref="K361">IFERROR(INDEX('Talnagögn | Numerical Data'!$1:$1048576, _xlfn.XMATCH($A361,'Talnagögn | Numerical Data'!$B:$B), _xlfn.XMATCH($A$1,'Talnagögn | Numerical Data'!$1:$1))/INDEX('Talnagögn | Numerical Data'!$1:$1048576, _xlfn.XMATCH($A361,'Talnagögn | Numerical Data'!$B:$B), _xlfn.XMATCH($B$2,'Talnagögn | Numerical Data'!$1:$1))-1,"—")</f>
        <v>1.9008354322697447</v>
      </c>
      <c r="L361" s="321"/>
      <c r="M361" s="333" t="str">
        <f>'Talnagögn | Numerical Data'!$E$324</f>
        <v>Álframleiðsla</v>
      </c>
      <c r="N361" s="331" cm="1">
        <f t="array" ref="N361">INDEX('Talnagögn | Numerical Data'!$1:$1048576, _xlfn.XMATCH($B361,'Talnagögn | Numerical Data'!$C:$C), _xlfn.XMATCH($B$4,'Talnagögn | Numerical Data'!$1:$1))-INDEX('Talnagögn | Numerical Data'!$1:$1048576, _xlfn.XMATCH($A361,'Talnagögn | Numerical Data'!$B:$B), _xlfn.XMATCH($B$2,'Talnagögn | Numerical Data'!$1:$1))</f>
        <v>965.75918382757368</v>
      </c>
      <c r="O361" s="332" cm="1">
        <f t="array" ref="O361">INDEX('Talnagögn | Numerical Data'!$1:$1048576, _xlfn.XMATCH($B361,'Talnagögn | Numerical Data'!$C:$C), _xlfn.XMATCH($B$4,'Talnagögn | Numerical Data'!$1:$1))/INDEX('Talnagögn | Numerical Data'!$1:$1048576, _xlfn.XMATCH($A361,'Talnagögn | Numerical Data'!$B:$B), _xlfn.XMATCH($B$2,'Talnagögn | Numerical Data'!$1:$1))-1</f>
        <v>2.1711796171294471</v>
      </c>
      <c r="S361" s="103"/>
      <c r="U361" s="333" t="str">
        <f>'Talnagögn | Numerical Data'!$G$324</f>
        <v>Aluminium Production</v>
      </c>
      <c r="V361" s="331" cm="1">
        <f t="array" ref="V361">INDEX('Talnagögn | Numerical Data'!$1:$1048576, _xlfn.XMATCH($A361,'Talnagögn | Numerical Data'!$B:$B), _xlfn.XMATCH($A$1,'Talnagögn | Numerical Data'!$1:$1))</f>
        <v>1290.3163042728158</v>
      </c>
      <c r="W361" s="631">
        <f>V361/$F$362</f>
        <v>0.76961012512618687</v>
      </c>
      <c r="X361" s="331" cm="1">
        <f t="array" ref="X361">INDEX('Talnagögn | Numerical Data'!$1:$1048576, _xlfn.XMATCH($A361,'Talnagögn | Numerical Data'!$B:$B), _xlfn.XMATCH($A$1,'Talnagögn | Numerical Data'!$1:$1))-INDEX('Talnagögn | Numerical Data'!$1:$1048576, _xlfn.XMATCH($A361,'Talnagögn | Numerical Data'!$B:$B), _xlfn.XMATCH($B$3,'Talnagögn | Numerical Data'!$1:$1))</f>
        <v>-70.095350678775731</v>
      </c>
      <c r="Y361" s="330" cm="1">
        <f t="array" ref="Y361">IFERROR(INDEX('Talnagögn | Numerical Data'!$1:$1048576, _xlfn.XMATCH($A361,'Talnagögn | Numerical Data'!$B:$B), _xlfn.XMATCH($A$1,'Talnagögn | Numerical Data'!$1:$1))/INDEX('Talnagögn | Numerical Data'!$1:$1048576, _xlfn.XMATCH($A361,'Talnagögn | Numerical Data'!$B:$B), _xlfn.XMATCH($B$3,'Talnagögn | Numerical Data'!$1:$1))-1,"—")</f>
        <v>-5.152510302572344E-2</v>
      </c>
      <c r="Z361" s="331" cm="1">
        <f t="array" ref="Z361">INDEX('Talnagögn | Numerical Data'!$1:$1048576, _xlfn.XMATCH($A361,'Talnagögn | Numerical Data'!$B:$B), _xlfn.XMATCH($A$1,'Talnagögn | Numerical Data'!$1:$1))-INDEX('Talnagögn | Numerical Data'!$1:$1048576, _xlfn.XMATCH($A361,'Talnagögn | Numerical Data'!$B:$B), _xlfn.XMATCH($B$2,'Talnagögn | Numerical Data'!$1:$1))</f>
        <v>845.50778810572865</v>
      </c>
      <c r="AA361" s="332" cm="1">
        <f t="array" ref="AA361">IFERROR(INDEX('Talnagögn | Numerical Data'!$1:$1048576, _xlfn.XMATCH($A361,'Talnagögn | Numerical Data'!$B:$B), _xlfn.XMATCH($A$1,'Talnagögn | Numerical Data'!$1:$1))/INDEX('Talnagögn | Numerical Data'!$1:$1048576, _xlfn.XMATCH($A361,'Talnagögn | Numerical Data'!$B:$B), _xlfn.XMATCH($B$2,'Talnagögn | Numerical Data'!$1:$1))-1,"—")</f>
        <v>1.9008354322697447</v>
      </c>
      <c r="AB361" s="321"/>
      <c r="AC361" s="333" t="str">
        <f>'Talnagögn | Numerical Data'!$G$324</f>
        <v>Aluminium Production</v>
      </c>
      <c r="AD361" s="331" cm="1">
        <f t="array" ref="AD361">INDEX('Talnagögn | Numerical Data'!$1:$1048576, _xlfn.XMATCH($B361,'Talnagögn | Numerical Data'!$C:$C), _xlfn.XMATCH($B$4,'Talnagögn | Numerical Data'!$1:$1))-INDEX('Talnagögn | Numerical Data'!$1:$1048576, _xlfn.XMATCH($A361,'Talnagögn | Numerical Data'!$B:$B), _xlfn.XMATCH($B$2,'Talnagögn | Numerical Data'!$1:$1))</f>
        <v>965.75918382757368</v>
      </c>
      <c r="AE361" s="332" cm="1">
        <f t="array" ref="AE361">INDEX('Talnagögn | Numerical Data'!$1:$1048576, _xlfn.XMATCH($B361,'Talnagögn | Numerical Data'!$C:$C), _xlfn.XMATCH($B$4,'Talnagögn | Numerical Data'!$1:$1))/INDEX('Talnagögn | Numerical Data'!$1:$1048576, _xlfn.XMATCH($A361,'Talnagögn | Numerical Data'!$B:$B), _xlfn.XMATCH($B$2,'Talnagögn | Numerical Data'!$1:$1))-1</f>
        <v>2.1711796171294471</v>
      </c>
    </row>
    <row r="362" spans="1:31" ht="24.9" customHeight="1" x14ac:dyDescent="0.4">
      <c r="A362" s="88" t="s">
        <v>78</v>
      </c>
      <c r="B362" s="88" t="s">
        <v>322</v>
      </c>
      <c r="C362" s="88" t="s">
        <v>44</v>
      </c>
      <c r="E362" s="334" t="s">
        <v>12</v>
      </c>
      <c r="F362" s="335" cm="1">
        <f t="array" ref="F362">INDEX('Talnagögn | Numerical Data'!$1:$1048576, _xlfn.XMATCH($A362,'Talnagögn | Numerical Data'!$B:$B), _xlfn.XMATCH($A$1,'Talnagögn | Numerical Data'!$1:$1))</f>
        <v>1676.5843667418656</v>
      </c>
      <c r="G362" s="336">
        <f>F362/$F$362</f>
        <v>1</v>
      </c>
      <c r="H362" s="335" cm="1">
        <f t="array" ref="H362">INDEX('Talnagögn | Numerical Data'!$1:$1048576, _xlfn.XMATCH($A362,'Talnagögn | Numerical Data'!$B:$B), _xlfn.XMATCH($A$1,'Talnagögn | Numerical Data'!$1:$1))-INDEX('Talnagögn | Numerical Data'!$1:$1048576, _xlfn.XMATCH($A362,'Talnagögn | Numerical Data'!$B:$B), _xlfn.XMATCH($B$3,'Talnagögn | Numerical Data'!$1:$1))</f>
        <v>-212.56963325813444</v>
      </c>
      <c r="I362" s="336" cm="1">
        <f t="array" ref="I362">IFERROR(INDEX('Talnagögn | Numerical Data'!$1:$1048576, _xlfn.XMATCH($A362,'Talnagögn | Numerical Data'!$B:$B), _xlfn.XMATCH($A$1,'Talnagögn | Numerical Data'!$1:$1))/INDEX('Talnagögn | Numerical Data'!$1:$1048576, _xlfn.XMATCH($A362,'Talnagögn | Numerical Data'!$B:$B), _xlfn.XMATCH($B$3,'Talnagögn | Numerical Data'!$1:$1))-1,"—")</f>
        <v>-0.11252107200267125</v>
      </c>
      <c r="J362" s="335" cm="1">
        <f t="array" ref="J362">INDEX('Talnagögn | Numerical Data'!$1:$1048576, _xlfn.XMATCH($A362,'Talnagögn | Numerical Data'!$B:$B), _xlfn.XMATCH($A$1,'Talnagögn | Numerical Data'!$1:$1))-INDEX('Talnagögn | Numerical Data'!$1:$1048576, _xlfn.XMATCH($A362,'Talnagögn | Numerical Data'!$B:$B), _xlfn.XMATCH($B$2,'Talnagögn | Numerical Data'!$1:$1))</f>
        <v>823.70143564907835</v>
      </c>
      <c r="K362" s="337" cm="1">
        <f t="array" ref="K362">IFERROR(INDEX('Talnagögn | Numerical Data'!$1:$1048576, _xlfn.XMATCH($A362,'Talnagögn | Numerical Data'!$B:$B), _xlfn.XMATCH($A$1,'Talnagögn | Numerical Data'!$1:$1))/INDEX('Talnagögn | Numerical Data'!$1:$1048576, _xlfn.XMATCH($A362,'Talnagögn | Numerical Data'!$B:$B), _xlfn.XMATCH($B$2,'Talnagögn | Numerical Data'!$1:$1))-1,"—")</f>
        <v>0.96578487576680772</v>
      </c>
      <c r="L362" s="324"/>
      <c r="M362" s="334" t="s">
        <v>12</v>
      </c>
      <c r="N362" s="335" cm="1">
        <f t="array" ref="N362">INDEX('Talnagögn | Numerical Data'!$1:$1048576, _xlfn.XMATCH($B362,'Talnagögn | Numerical Data'!$C:$C), _xlfn.XMATCH($B$4,'Talnagögn | Numerical Data'!$1:$1))-INDEX('Talnagögn | Numerical Data'!$1:$1048576, _xlfn.XMATCH($A362,'Talnagögn | Numerical Data'!$B:$B), _xlfn.XMATCH($B$2,'Talnagögn | Numerical Data'!$1:$1))</f>
        <v>1060.832700582456</v>
      </c>
      <c r="O362" s="337" cm="1">
        <f t="array" ref="O362">INDEX('Talnagögn | Numerical Data'!$1:$1048576, _xlfn.XMATCH($B362,'Talnagögn | Numerical Data'!$C:$C), _xlfn.XMATCH($B$4,'Talnagögn | Numerical Data'!$1:$1))/INDEX('Talnagögn | Numerical Data'!$1:$1048576, _xlfn.XMATCH($A362,'Talnagögn | Numerical Data'!$B:$B), _xlfn.XMATCH($B$2,'Talnagögn | Numerical Data'!$1:$1))-1</f>
        <v>1.2438198279138093</v>
      </c>
      <c r="S362" s="103"/>
      <c r="U362" s="334" t="s">
        <v>145</v>
      </c>
      <c r="V362" s="335" cm="1">
        <f t="array" ref="V362">INDEX('Talnagögn | Numerical Data'!$1:$1048576, _xlfn.XMATCH($A362,'Talnagögn | Numerical Data'!$B:$B), _xlfn.XMATCH($A$1,'Talnagögn | Numerical Data'!$1:$1))</f>
        <v>1676.5843667418656</v>
      </c>
      <c r="W362" s="336">
        <f>V362/$F$362</f>
        <v>1</v>
      </c>
      <c r="X362" s="335" cm="1">
        <f t="array" ref="X362">INDEX('Talnagögn | Numerical Data'!$1:$1048576, _xlfn.XMATCH($A362,'Talnagögn | Numerical Data'!$B:$B), _xlfn.XMATCH($A$1,'Talnagögn | Numerical Data'!$1:$1))-INDEX('Talnagögn | Numerical Data'!$1:$1048576, _xlfn.XMATCH($A362,'Talnagögn | Numerical Data'!$B:$B), _xlfn.XMATCH($B$3,'Talnagögn | Numerical Data'!$1:$1))</f>
        <v>-212.56963325813444</v>
      </c>
      <c r="Y362" s="977" cm="1">
        <f t="array" ref="Y362">IFERROR(INDEX('Talnagögn | Numerical Data'!$1:$1048576, _xlfn.XMATCH($A362,'Talnagögn | Numerical Data'!$B:$B), _xlfn.XMATCH($A$1,'Talnagögn | Numerical Data'!$1:$1))/INDEX('Talnagögn | Numerical Data'!$1:$1048576, _xlfn.XMATCH($A362,'Talnagögn | Numerical Data'!$B:$B), _xlfn.XMATCH($B$3,'Talnagögn | Numerical Data'!$1:$1))-1,"—")</f>
        <v>-0.11252107200267125</v>
      </c>
      <c r="Z362" s="335" cm="1">
        <f t="array" ref="Z362">INDEX('Talnagögn | Numerical Data'!$1:$1048576, _xlfn.XMATCH($A362,'Talnagögn | Numerical Data'!$B:$B), _xlfn.XMATCH($A$1,'Talnagögn | Numerical Data'!$1:$1))-INDEX('Talnagögn | Numerical Data'!$1:$1048576, _xlfn.XMATCH($A362,'Talnagögn | Numerical Data'!$B:$B), _xlfn.XMATCH($B$2,'Talnagögn | Numerical Data'!$1:$1))</f>
        <v>823.70143564907835</v>
      </c>
      <c r="AA362" s="337" cm="1">
        <f t="array" ref="AA362">IFERROR(INDEX('Talnagögn | Numerical Data'!$1:$1048576, _xlfn.XMATCH($A362,'Talnagögn | Numerical Data'!$B:$B), _xlfn.XMATCH($A$1,'Talnagögn | Numerical Data'!$1:$1))/INDEX('Talnagögn | Numerical Data'!$1:$1048576, _xlfn.XMATCH($A362,'Talnagögn | Numerical Data'!$B:$B), _xlfn.XMATCH($B$2,'Talnagögn | Numerical Data'!$1:$1))-1,"—")</f>
        <v>0.96578487576680772</v>
      </c>
      <c r="AB362" s="324"/>
      <c r="AC362" s="334" t="s">
        <v>145</v>
      </c>
      <c r="AD362" s="335" cm="1">
        <f t="array" ref="AD362">INDEX('Talnagögn | Numerical Data'!$1:$1048576, _xlfn.XMATCH($B362,'Talnagögn | Numerical Data'!$C:$C), _xlfn.XMATCH($B$4,'Talnagögn | Numerical Data'!$1:$1))-INDEX('Talnagögn | Numerical Data'!$1:$1048576, _xlfn.XMATCH($A362,'Talnagögn | Numerical Data'!$B:$B), _xlfn.XMATCH($B$2,'Talnagögn | Numerical Data'!$1:$1))</f>
        <v>1060.832700582456</v>
      </c>
      <c r="AE362" s="337" cm="1">
        <f t="array" ref="AE362">INDEX('Talnagögn | Numerical Data'!$1:$1048576, _xlfn.XMATCH($B362,'Talnagögn | Numerical Data'!$C:$C), _xlfn.XMATCH($B$4,'Talnagögn | Numerical Data'!$1:$1))/INDEX('Talnagögn | Numerical Data'!$1:$1048576, _xlfn.XMATCH($A362,'Talnagögn | Numerical Data'!$B:$B), _xlfn.XMATCH($B$2,'Talnagögn | Numerical Data'!$1:$1))-1</f>
        <v>1.2438198279138093</v>
      </c>
    </row>
    <row r="363" spans="1:31" x14ac:dyDescent="0.4">
      <c r="A363" s="632" t="str">
        <f>"Losun frá ETS staðbundnum iðnaði "&amp;$A$1</f>
        <v>Losun frá ETS staðbundnum iðnaði 2025</v>
      </c>
      <c r="B363" s="632" t="str">
        <f>"Emissions from ETS Stationary Industry "&amp;$A$1</f>
        <v>Emissions from ETS Stationary Industry 2025</v>
      </c>
      <c r="C363" s="26" t="s">
        <v>44</v>
      </c>
      <c r="F363" s="70"/>
      <c r="N363" s="21" t="s">
        <v>44</v>
      </c>
      <c r="S363" s="103"/>
      <c r="V363" s="179"/>
    </row>
    <row r="364" spans="1:31" x14ac:dyDescent="0.4">
      <c r="S364" s="103"/>
    </row>
    <row r="365" spans="1:31" x14ac:dyDescent="0.4">
      <c r="S365" s="103"/>
    </row>
    <row r="366" spans="1:31" x14ac:dyDescent="0.4">
      <c r="S366" s="103"/>
    </row>
    <row r="367" spans="1:31" x14ac:dyDescent="0.4">
      <c r="S367" s="103"/>
    </row>
    <row r="368" spans="1:31" x14ac:dyDescent="0.4">
      <c r="S368" s="103"/>
    </row>
    <row r="369" spans="19:19" x14ac:dyDescent="0.4">
      <c r="S369" s="103"/>
    </row>
    <row r="370" spans="19:19" x14ac:dyDescent="0.4">
      <c r="S370" s="103"/>
    </row>
    <row r="371" spans="19:19" x14ac:dyDescent="0.4">
      <c r="S371" s="103"/>
    </row>
    <row r="372" spans="19:19" x14ac:dyDescent="0.4">
      <c r="S372" s="103"/>
    </row>
    <row r="373" spans="19:19" x14ac:dyDescent="0.4">
      <c r="S373" s="103"/>
    </row>
    <row r="374" spans="19:19" x14ac:dyDescent="0.4">
      <c r="S374" s="103"/>
    </row>
    <row r="375" spans="19:19" x14ac:dyDescent="0.4">
      <c r="S375" s="103"/>
    </row>
    <row r="376" spans="19:19" x14ac:dyDescent="0.4">
      <c r="S376" s="103"/>
    </row>
    <row r="377" spans="19:19" x14ac:dyDescent="0.4">
      <c r="S377" s="103"/>
    </row>
    <row r="378" spans="19:19" x14ac:dyDescent="0.4">
      <c r="S378" s="103"/>
    </row>
    <row r="379" spans="19:19" x14ac:dyDescent="0.4">
      <c r="S379" s="103"/>
    </row>
    <row r="380" spans="19:19" x14ac:dyDescent="0.4">
      <c r="S380" s="103"/>
    </row>
    <row r="381" spans="19:19" x14ac:dyDescent="0.4">
      <c r="S381" s="103"/>
    </row>
    <row r="382" spans="19:19" x14ac:dyDescent="0.4">
      <c r="S382" s="103"/>
    </row>
    <row r="383" spans="19:19" x14ac:dyDescent="0.4">
      <c r="S383" s="103"/>
    </row>
    <row r="384" spans="19:19" x14ac:dyDescent="0.4">
      <c r="S384" s="103"/>
    </row>
    <row r="385" spans="1:30" x14ac:dyDescent="0.4">
      <c r="S385" s="103"/>
    </row>
    <row r="386" spans="1:30" s="771" customFormat="1" ht="27" customHeight="1" x14ac:dyDescent="0.4">
      <c r="A386" s="770"/>
      <c r="B386" s="770"/>
      <c r="C386" s="770"/>
      <c r="E386" s="769" t="str">
        <f>UPPER('Talnagögn | Numerical Data'!$E$5)</f>
        <v>SÖGULEG LOSUN</v>
      </c>
      <c r="F386" s="769"/>
      <c r="G386" s="769"/>
      <c r="H386" s="769"/>
      <c r="I386" s="769"/>
      <c r="J386" s="769"/>
      <c r="K386" s="769"/>
      <c r="L386" s="769"/>
      <c r="M386" s="769"/>
      <c r="N386" s="769"/>
      <c r="O386" s="769"/>
      <c r="P386" s="769"/>
      <c r="Q386" s="769"/>
      <c r="R386" s="769"/>
      <c r="S386" s="772"/>
      <c r="T386" s="769"/>
      <c r="U386" s="769" t="str">
        <f>UPPER('Talnagögn | Numerical Data'!$G$5)</f>
        <v>HISTORICAL EMISSIONS</v>
      </c>
      <c r="V386" s="773"/>
      <c r="X386" s="773"/>
      <c r="Z386" s="773"/>
      <c r="AD386" s="773"/>
    </row>
    <row r="387" spans="1:30" x14ac:dyDescent="0.4">
      <c r="S387" s="103"/>
    </row>
    <row r="388" spans="1:30" x14ac:dyDescent="0.4">
      <c r="S388" s="103"/>
    </row>
    <row r="389" spans="1:30" x14ac:dyDescent="0.4">
      <c r="S389" s="103"/>
    </row>
    <row r="390" spans="1:30" x14ac:dyDescent="0.4">
      <c r="S390" s="103"/>
    </row>
    <row r="391" spans="1:30" x14ac:dyDescent="0.4">
      <c r="S391" s="103"/>
    </row>
    <row r="392" spans="1:30" x14ac:dyDescent="0.4">
      <c r="S392" s="103"/>
    </row>
    <row r="393" spans="1:30" x14ac:dyDescent="0.4">
      <c r="S393" s="103"/>
    </row>
    <row r="394" spans="1:30" x14ac:dyDescent="0.4">
      <c r="S394" s="103"/>
    </row>
    <row r="395" spans="1:30" x14ac:dyDescent="0.4">
      <c r="S395" s="103"/>
    </row>
    <row r="396" spans="1:30" x14ac:dyDescent="0.4">
      <c r="S396" s="103"/>
    </row>
    <row r="397" spans="1:30" x14ac:dyDescent="0.4">
      <c r="S397" s="103"/>
    </row>
    <row r="398" spans="1:30" x14ac:dyDescent="0.4">
      <c r="S398" s="103"/>
    </row>
    <row r="399" spans="1:30" x14ac:dyDescent="0.4">
      <c r="S399" s="103"/>
    </row>
    <row r="400" spans="1:30" x14ac:dyDescent="0.4">
      <c r="S400" s="103"/>
    </row>
    <row r="401" spans="1:21" x14ac:dyDescent="0.4">
      <c r="S401" s="103"/>
    </row>
    <row r="402" spans="1:21" x14ac:dyDescent="0.4">
      <c r="S402" s="103"/>
    </row>
    <row r="403" spans="1:21" x14ac:dyDescent="0.4">
      <c r="S403" s="103"/>
    </row>
    <row r="404" spans="1:21" x14ac:dyDescent="0.4">
      <c r="S404" s="103"/>
    </row>
    <row r="405" spans="1:21" x14ac:dyDescent="0.4">
      <c r="S405" s="103"/>
    </row>
    <row r="406" spans="1:21" x14ac:dyDescent="0.4">
      <c r="S406" s="103"/>
    </row>
    <row r="407" spans="1:21" x14ac:dyDescent="0.4">
      <c r="S407" s="103"/>
    </row>
    <row r="408" spans="1:21" x14ac:dyDescent="0.4">
      <c r="S408" s="103"/>
    </row>
    <row r="409" spans="1:21" x14ac:dyDescent="0.4">
      <c r="S409" s="103"/>
    </row>
    <row r="410" spans="1:21" s="771" customFormat="1" ht="27" customHeight="1" x14ac:dyDescent="0.4">
      <c r="A410" s="774"/>
      <c r="B410" s="774"/>
      <c r="C410" s="774"/>
      <c r="E410" s="769" t="str">
        <f>$E$66</f>
        <v>LOSUNARSPÁ: SVIÐSMYND BYGGÐ Á AÐGERÐUM STJÓRNVALDA</v>
      </c>
      <c r="F410" s="769"/>
      <c r="G410" s="769"/>
      <c r="H410" s="769"/>
      <c r="I410" s="769"/>
      <c r="J410" s="769"/>
      <c r="K410" s="769"/>
      <c r="L410" s="769"/>
      <c r="M410" s="769"/>
      <c r="N410" s="769"/>
      <c r="O410" s="769"/>
      <c r="P410" s="769"/>
      <c r="Q410" s="769"/>
      <c r="R410" s="769"/>
      <c r="S410" s="775"/>
      <c r="T410" s="769"/>
      <c r="U410" s="769" t="str">
        <f>$U$66</f>
        <v>EMISSION PROJECTIONS: GOVERNMENT POLICY-BASED SCENARIO</v>
      </c>
    </row>
    <row r="411" spans="1:21" x14ac:dyDescent="0.4">
      <c r="S411" s="103"/>
    </row>
    <row r="412" spans="1:21" x14ac:dyDescent="0.4">
      <c r="S412" s="103"/>
    </row>
    <row r="413" spans="1:21" x14ac:dyDescent="0.4">
      <c r="S413" s="103"/>
    </row>
    <row r="414" spans="1:21" x14ac:dyDescent="0.4">
      <c r="S414" s="103"/>
    </row>
    <row r="415" spans="1:21" x14ac:dyDescent="0.4">
      <c r="S415" s="103"/>
    </row>
    <row r="416" spans="1:21" x14ac:dyDescent="0.4">
      <c r="S416" s="103"/>
    </row>
    <row r="417" spans="19:20" x14ac:dyDescent="0.4">
      <c r="S417" s="103"/>
    </row>
    <row r="418" spans="19:20" x14ac:dyDescent="0.4">
      <c r="S418" s="103"/>
    </row>
    <row r="419" spans="19:20" x14ac:dyDescent="0.4">
      <c r="S419" s="103"/>
    </row>
    <row r="420" spans="19:20" x14ac:dyDescent="0.4">
      <c r="S420" s="103"/>
    </row>
    <row r="421" spans="19:20" x14ac:dyDescent="0.4">
      <c r="S421" s="103"/>
    </row>
    <row r="422" spans="19:20" x14ac:dyDescent="0.4">
      <c r="S422" s="103"/>
    </row>
    <row r="423" spans="19:20" x14ac:dyDescent="0.4">
      <c r="S423" s="103"/>
    </row>
    <row r="424" spans="19:20" x14ac:dyDescent="0.4">
      <c r="S424" s="103"/>
    </row>
    <row r="425" spans="19:20" x14ac:dyDescent="0.4">
      <c r="S425" s="103"/>
    </row>
    <row r="426" spans="19:20" x14ac:dyDescent="0.4">
      <c r="S426" s="103"/>
    </row>
    <row r="427" spans="19:20" x14ac:dyDescent="0.4">
      <c r="S427" s="103"/>
    </row>
    <row r="428" spans="19:20" x14ac:dyDescent="0.4">
      <c r="S428" s="103"/>
    </row>
    <row r="429" spans="19:20" x14ac:dyDescent="0.4">
      <c r="S429" s="103"/>
    </row>
    <row r="430" spans="19:20" x14ac:dyDescent="0.4">
      <c r="S430" s="103"/>
    </row>
    <row r="431" spans="19:20" x14ac:dyDescent="0.4">
      <c r="S431" s="978"/>
      <c r="T431" s="103"/>
    </row>
    <row r="432" spans="19:20" x14ac:dyDescent="0.4">
      <c r="S432" s="978"/>
    </row>
    <row r="433" spans="19:34" x14ac:dyDescent="0.4">
      <c r="S433" s="978"/>
    </row>
    <row r="434" spans="19:34" s="91" customFormat="1" ht="15" customHeight="1" thickBot="1" x14ac:dyDescent="0.45">
      <c r="T434" s="776"/>
      <c r="AH434" s="698"/>
    </row>
    <row r="435" spans="19:34" ht="17.399999999999999" thickTop="1" x14ac:dyDescent="0.4"/>
  </sheetData>
  <mergeCells count="69">
    <mergeCell ref="Z6:AA6"/>
    <mergeCell ref="V5:AA5"/>
    <mergeCell ref="AD6:AE6"/>
    <mergeCell ref="AC5:AC7"/>
    <mergeCell ref="V117:AA117"/>
    <mergeCell ref="E356:E358"/>
    <mergeCell ref="M356:M358"/>
    <mergeCell ref="U356:U358"/>
    <mergeCell ref="AC356:AC358"/>
    <mergeCell ref="AC273:AC275"/>
    <mergeCell ref="E273:E275"/>
    <mergeCell ref="M273:M275"/>
    <mergeCell ref="U273:U275"/>
    <mergeCell ref="N273:O273"/>
    <mergeCell ref="F273:K273"/>
    <mergeCell ref="F356:K356"/>
    <mergeCell ref="N356:O356"/>
    <mergeCell ref="N357:O357"/>
    <mergeCell ref="N274:O274"/>
    <mergeCell ref="H274:I274"/>
    <mergeCell ref="J274:K274"/>
    <mergeCell ref="E117:E119"/>
    <mergeCell ref="M117:M119"/>
    <mergeCell ref="F117:K117"/>
    <mergeCell ref="F118:G118"/>
    <mergeCell ref="H118:I118"/>
    <mergeCell ref="J118:K118"/>
    <mergeCell ref="F357:G357"/>
    <mergeCell ref="H357:I357"/>
    <mergeCell ref="J357:K357"/>
    <mergeCell ref="F274:G274"/>
    <mergeCell ref="AD357:AE357"/>
    <mergeCell ref="V273:AA273"/>
    <mergeCell ref="AD274:AE274"/>
    <mergeCell ref="V356:AA356"/>
    <mergeCell ref="AD356:AE356"/>
    <mergeCell ref="X357:Y357"/>
    <mergeCell ref="V357:W357"/>
    <mergeCell ref="Z357:AA357"/>
    <mergeCell ref="V274:W274"/>
    <mergeCell ref="X274:Y274"/>
    <mergeCell ref="Z274:AA274"/>
    <mergeCell ref="AD273:AE273"/>
    <mergeCell ref="E5:E7"/>
    <mergeCell ref="U5:U7"/>
    <mergeCell ref="N6:O6"/>
    <mergeCell ref="F6:G6"/>
    <mergeCell ref="H6:I6"/>
    <mergeCell ref="F5:K5"/>
    <mergeCell ref="J6:K6"/>
    <mergeCell ref="P5:Q5"/>
    <mergeCell ref="P6:Q6"/>
    <mergeCell ref="N5:O5"/>
    <mergeCell ref="AF5:AG5"/>
    <mergeCell ref="AF6:AG6"/>
    <mergeCell ref="K267:M270"/>
    <mergeCell ref="U117:U119"/>
    <mergeCell ref="AC117:AC119"/>
    <mergeCell ref="AD117:AE117"/>
    <mergeCell ref="N118:O118"/>
    <mergeCell ref="AD118:AE118"/>
    <mergeCell ref="V118:W118"/>
    <mergeCell ref="X118:Y118"/>
    <mergeCell ref="Z118:AA118"/>
    <mergeCell ref="M5:M7"/>
    <mergeCell ref="V6:W6"/>
    <mergeCell ref="AD5:AE5"/>
    <mergeCell ref="N117:O117"/>
    <mergeCell ref="X6:Y6"/>
  </mergeCells>
  <conditionalFormatting sqref="A8:B13 C9:C14 B116">
    <cfRule type="cellIs" dxfId="90" priority="191" operator="equal">
      <formula>0</formula>
    </cfRule>
  </conditionalFormatting>
  <conditionalFormatting sqref="B118:B132 A129 T431:T433 A434:R434 T434:XFD434">
    <cfRule type="cellIs" dxfId="89" priority="164" operator="equal">
      <formula>0</formula>
    </cfRule>
  </conditionalFormatting>
  <conditionalFormatting sqref="B135:B139">
    <cfRule type="cellIs" dxfId="88" priority="192" operator="equal">
      <formula>0</formula>
    </cfRule>
  </conditionalFormatting>
  <conditionalFormatting sqref="C129">
    <cfRule type="cellIs" dxfId="87" priority="165" operator="equal">
      <formula>0</formula>
    </cfRule>
  </conditionalFormatting>
  <conditionalFormatting sqref="F359:L362 N359:N362">
    <cfRule type="cellIs" dxfId="86" priority="133" operator="equal">
      <formula>0</formula>
    </cfRule>
  </conditionalFormatting>
  <conditionalFormatting sqref="V359:AB362">
    <cfRule type="cellIs" dxfId="85" priority="1" operator="equal">
      <formula>0</formula>
    </cfRule>
  </conditionalFormatting>
  <conditionalFormatting sqref="AD359:AD362">
    <cfRule type="cellIs" dxfId="84" priority="31" operator="equal">
      <formula>0</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3CA-2548-4B41-A082-4442B1BB00A3}">
  <sheetPr>
    <tabColor theme="3"/>
  </sheetPr>
  <dimension ref="A1:AT907"/>
  <sheetViews>
    <sheetView topLeftCell="D1" zoomScale="70" zoomScaleNormal="70" workbookViewId="0">
      <selection activeCell="D1" sqref="D1"/>
    </sheetView>
  </sheetViews>
  <sheetFormatPr defaultColWidth="9.19921875" defaultRowHeight="16.8" x14ac:dyDescent="0.4"/>
  <cols>
    <col min="1" max="1" width="8.8984375" style="27" hidden="1" customWidth="1"/>
    <col min="2" max="2" width="8.69921875" style="645" hidden="1" customWidth="1"/>
    <col min="3" max="3" width="11.3984375" style="645" hidden="1" customWidth="1"/>
    <col min="4" max="4" width="5.19921875" style="5" customWidth="1"/>
    <col min="5" max="5" width="21.69921875" style="5" customWidth="1"/>
    <col min="6" max="6" width="16.69921875" style="127" customWidth="1"/>
    <col min="7" max="7" width="9.09765625" style="127" customWidth="1"/>
    <col min="8" max="8" width="16.69921875" style="127" customWidth="1"/>
    <col min="9" max="9" width="10.59765625" style="127" bestFit="1" customWidth="1"/>
    <col min="10" max="10" width="16.69921875" style="127" customWidth="1"/>
    <col min="11" max="11" width="10.59765625" style="127" bestFit="1" customWidth="1"/>
    <col min="12" max="12" width="16.69921875" style="127" customWidth="1"/>
    <col min="13" max="13" width="9.09765625" style="127" customWidth="1"/>
    <col min="14" max="14" width="10" style="127" customWidth="1"/>
    <col min="15" max="15" width="44" style="127" customWidth="1"/>
    <col min="16" max="16" width="16.69921875" style="127" customWidth="1"/>
    <col min="17" max="17" width="9.09765625" style="127" customWidth="1"/>
    <col min="18" max="18" width="16.69921875" style="127" customWidth="1"/>
    <col min="19" max="19" width="9.09765625" style="127" customWidth="1"/>
    <col min="20" max="20" width="8" style="127" customWidth="1"/>
    <col min="21" max="21" width="9.69921875" style="127" customWidth="1"/>
    <col min="22" max="22" width="10.19921875" style="127" bestFit="1" customWidth="1"/>
    <col min="23" max="24" width="9.19921875" style="5"/>
    <col min="25" max="25" width="39.69921875" style="5" customWidth="1"/>
    <col min="26" max="26" width="19.59765625" style="127" customWidth="1"/>
    <col min="27" max="27" width="9.19921875" style="127"/>
    <col min="28" max="28" width="19.59765625" style="127" customWidth="1"/>
    <col min="29" max="29" width="10.59765625" style="127" bestFit="1" customWidth="1"/>
    <col min="30" max="30" width="19.59765625" style="127" customWidth="1"/>
    <col min="31" max="31" width="9.69921875" style="127" customWidth="1"/>
    <col min="32" max="32" width="19.59765625" style="127" customWidth="1"/>
    <col min="33" max="33" width="9.19921875" style="127"/>
    <col min="34" max="34" width="9" style="127" customWidth="1"/>
    <col min="35" max="35" width="39.69921875" style="127" customWidth="1"/>
    <col min="36" max="36" width="19.59765625" style="127" customWidth="1"/>
    <col min="37" max="37" width="8.19921875" style="127" customWidth="1"/>
    <col min="38" max="38" width="19.59765625" style="127" customWidth="1"/>
    <col min="39" max="45" width="9.19921875" style="127"/>
    <col min="46" max="46" width="9.19921875" style="5"/>
    <col min="47" max="47" width="10.5" style="5" customWidth="1"/>
    <col min="48" max="56" width="9.19921875" style="5"/>
    <col min="57" max="57" width="27.8984375" style="5" bestFit="1" customWidth="1"/>
    <col min="58" max="16384" width="9.19921875" style="5"/>
  </cols>
  <sheetData>
    <row r="1" spans="1:45" s="343" customFormat="1" ht="45.6" customHeight="1" x14ac:dyDescent="0.85">
      <c r="A1" s="782">
        <v>2025</v>
      </c>
      <c r="B1" s="427">
        <v>1990</v>
      </c>
      <c r="C1" s="650" t="s">
        <v>44</v>
      </c>
      <c r="E1" s="662" t="s">
        <v>97</v>
      </c>
      <c r="F1" s="361"/>
      <c r="G1" s="361"/>
      <c r="H1" s="351"/>
      <c r="I1" s="361"/>
      <c r="J1" s="361"/>
      <c r="K1" s="361"/>
      <c r="L1" s="361"/>
      <c r="M1" s="361"/>
      <c r="N1" s="361"/>
      <c r="O1" s="361"/>
      <c r="P1" s="361"/>
      <c r="Q1" s="361"/>
      <c r="R1" s="361"/>
      <c r="S1" s="361"/>
      <c r="T1" s="361"/>
      <c r="U1" s="361"/>
      <c r="V1" s="406"/>
      <c r="Y1" s="662" t="s">
        <v>152</v>
      </c>
      <c r="Z1" s="361"/>
      <c r="AA1" s="361"/>
      <c r="AB1" s="361"/>
      <c r="AC1" s="361"/>
      <c r="AD1" s="361"/>
      <c r="AE1" s="361"/>
      <c r="AF1" s="361"/>
      <c r="AG1" s="361"/>
      <c r="AH1" s="361"/>
      <c r="AI1" s="361"/>
      <c r="AJ1" s="361"/>
      <c r="AK1" s="361"/>
      <c r="AL1" s="361"/>
      <c r="AM1" s="361"/>
      <c r="AN1" s="361"/>
      <c r="AO1" s="361"/>
      <c r="AP1" s="361"/>
      <c r="AQ1" s="361"/>
      <c r="AR1" s="361"/>
      <c r="AS1" s="361"/>
    </row>
    <row r="2" spans="1:45" s="360" customFormat="1" ht="37.5" customHeight="1" x14ac:dyDescent="0.35">
      <c r="A2" s="357"/>
      <c r="B2" s="357">
        <v>2005</v>
      </c>
      <c r="C2" s="650" t="s">
        <v>44</v>
      </c>
      <c r="D2" s="358"/>
      <c r="E2" s="389" t="s">
        <v>369</v>
      </c>
      <c r="F2" s="362"/>
      <c r="G2" s="362"/>
      <c r="H2" s="364"/>
      <c r="I2" s="362"/>
      <c r="J2" s="362"/>
      <c r="K2" s="362"/>
      <c r="L2" s="362"/>
      <c r="M2" s="362"/>
      <c r="N2" s="362"/>
      <c r="O2" s="362"/>
      <c r="P2" s="362"/>
      <c r="Q2" s="362"/>
      <c r="R2" s="362"/>
      <c r="S2" s="362"/>
      <c r="T2" s="362"/>
      <c r="U2" s="362"/>
      <c r="V2" s="407"/>
      <c r="W2" s="358"/>
      <c r="X2" s="358"/>
      <c r="Y2" s="389" t="s">
        <v>368</v>
      </c>
      <c r="Z2" s="362"/>
      <c r="AA2" s="362"/>
      <c r="AB2" s="362"/>
      <c r="AC2" s="362"/>
      <c r="AD2" s="362"/>
      <c r="AE2" s="362"/>
      <c r="AF2" s="362"/>
      <c r="AG2" s="362"/>
      <c r="AH2" s="362"/>
      <c r="AI2" s="362"/>
      <c r="AJ2" s="359"/>
      <c r="AK2" s="359"/>
      <c r="AL2" s="359"/>
      <c r="AM2" s="359"/>
      <c r="AN2" s="359"/>
      <c r="AO2" s="359"/>
      <c r="AP2" s="359"/>
      <c r="AQ2" s="359"/>
      <c r="AR2" s="359"/>
      <c r="AS2" s="359"/>
    </row>
    <row r="3" spans="1:45" x14ac:dyDescent="0.4">
      <c r="A3" s="357"/>
      <c r="B3" s="357">
        <f>$A$1-1</f>
        <v>2024</v>
      </c>
      <c r="C3" s="650" t="s">
        <v>44</v>
      </c>
      <c r="D3" s="131" t="s">
        <v>44</v>
      </c>
      <c r="V3" s="162"/>
    </row>
    <row r="4" spans="1:45" ht="52.95" customHeight="1" x14ac:dyDescent="0.55000000000000004">
      <c r="A4" s="722"/>
      <c r="B4" s="357">
        <v>2030</v>
      </c>
      <c r="C4" s="650" t="s">
        <v>44</v>
      </c>
      <c r="D4" s="131" t="s">
        <v>44</v>
      </c>
      <c r="E4" s="675" t="s">
        <v>364</v>
      </c>
      <c r="F4" s="674"/>
      <c r="G4" s="674"/>
      <c r="H4" s="674"/>
      <c r="I4" s="981"/>
      <c r="J4" s="674"/>
      <c r="K4" s="674"/>
      <c r="L4" s="674"/>
      <c r="M4" s="674"/>
      <c r="O4" s="675" t="s">
        <v>364</v>
      </c>
      <c r="P4" s="674"/>
      <c r="Q4" s="674"/>
      <c r="R4" s="674"/>
      <c r="S4" s="674"/>
      <c r="V4" s="162"/>
      <c r="Y4" s="675" t="s">
        <v>366</v>
      </c>
      <c r="Z4" s="674"/>
      <c r="AA4" s="674"/>
      <c r="AB4" s="674"/>
      <c r="AC4" s="674"/>
      <c r="AD4" s="674"/>
      <c r="AE4" s="674"/>
      <c r="AF4" s="674"/>
      <c r="AG4" s="674"/>
      <c r="AH4" s="5"/>
      <c r="AI4" s="675" t="s">
        <v>366</v>
      </c>
      <c r="AJ4" s="674"/>
      <c r="AK4" s="674"/>
      <c r="AL4" s="674"/>
      <c r="AM4" s="674"/>
      <c r="AN4" s="5"/>
      <c r="AO4" s="5"/>
      <c r="AP4" s="5"/>
      <c r="AQ4" s="5"/>
      <c r="AR4" s="5"/>
      <c r="AS4" s="5"/>
    </row>
    <row r="5" spans="1:45" ht="48" customHeight="1" x14ac:dyDescent="0.4">
      <c r="A5" s="722"/>
      <c r="B5" s="722">
        <v>2055</v>
      </c>
      <c r="C5" s="40" t="s">
        <v>44</v>
      </c>
      <c r="D5" s="123"/>
      <c r="E5" s="1339" t="str">
        <f>"STAÐAN ÁRIÐ "&amp;$A$1</f>
        <v>STAÐAN ÁRIÐ 2025</v>
      </c>
      <c r="F5" s="405"/>
      <c r="G5" s="404"/>
      <c r="H5" s="404"/>
      <c r="I5" s="404"/>
      <c r="J5" s="404"/>
      <c r="K5" s="404"/>
      <c r="L5" s="404"/>
      <c r="M5" s="404"/>
      <c r="O5" s="1339" t="s">
        <v>466</v>
      </c>
      <c r="P5" s="1400" t="s">
        <v>467</v>
      </c>
      <c r="Q5" s="1401"/>
      <c r="R5" s="1401"/>
      <c r="S5" s="1401"/>
      <c r="V5" s="162"/>
      <c r="Y5" s="1339" t="str">
        <f>$A$1&amp;" EMISSIONS"</f>
        <v>2025 EMISSIONS</v>
      </c>
      <c r="Z5" s="402"/>
      <c r="AA5" s="403"/>
      <c r="AB5" s="403"/>
      <c r="AC5" s="403"/>
      <c r="AD5" s="403"/>
      <c r="AE5" s="403"/>
      <c r="AF5" s="404"/>
      <c r="AG5" s="403"/>
      <c r="AH5" s="5"/>
      <c r="AI5" s="1339" t="s">
        <v>334</v>
      </c>
      <c r="AJ5" s="1400" t="s">
        <v>468</v>
      </c>
      <c r="AK5" s="1401"/>
      <c r="AL5" s="1401"/>
      <c r="AM5" s="1401"/>
      <c r="AN5" s="5"/>
      <c r="AO5" s="5"/>
      <c r="AP5" s="5"/>
      <c r="AQ5" s="5"/>
      <c r="AR5" s="5"/>
      <c r="AS5" s="5"/>
    </row>
    <row r="6" spans="1:45" ht="17.399999999999999" x14ac:dyDescent="0.4">
      <c r="A6" s="5"/>
      <c r="B6" s="5"/>
      <c r="C6" s="650" t="s">
        <v>44</v>
      </c>
      <c r="D6" s="131" t="s">
        <v>44</v>
      </c>
      <c r="E6" s="1339"/>
      <c r="F6" s="1341" t="str">
        <f>"Losun "&amp;$A$1</f>
        <v>Losun 2025</v>
      </c>
      <c r="G6" s="1342"/>
      <c r="H6" s="1345" t="str">
        <f>"Breyting frá "&amp;$B$3</f>
        <v>Breyting frá 2024</v>
      </c>
      <c r="I6" s="1342"/>
      <c r="J6" s="1345" t="str">
        <f>"Breyting frá "&amp;$B$2</f>
        <v>Breyting frá 2005</v>
      </c>
      <c r="K6" s="1342"/>
      <c r="L6" s="1345" t="str">
        <f>"Breyting frá "&amp;$B$1</f>
        <v>Breyting frá 1990</v>
      </c>
      <c r="M6" s="1402"/>
      <c r="O6" s="1339"/>
      <c r="P6" s="1345" t="s">
        <v>342</v>
      </c>
      <c r="Q6" s="1342"/>
      <c r="R6" s="1345" t="s">
        <v>343</v>
      </c>
      <c r="S6" s="1342"/>
      <c r="V6" s="162"/>
      <c r="W6" s="137"/>
      <c r="Y6" s="1339"/>
      <c r="Z6" s="1341" t="s">
        <v>471</v>
      </c>
      <c r="AA6" s="1342"/>
      <c r="AB6" s="1345" t="s">
        <v>472</v>
      </c>
      <c r="AC6" s="1342"/>
      <c r="AD6" s="1345" t="s">
        <v>344</v>
      </c>
      <c r="AE6" s="1342"/>
      <c r="AF6" s="1345" t="s">
        <v>345</v>
      </c>
      <c r="AG6" s="1402"/>
      <c r="AH6" s="5"/>
      <c r="AI6" s="1339"/>
      <c r="AJ6" s="1345" t="s">
        <v>346</v>
      </c>
      <c r="AK6" s="1342"/>
      <c r="AL6" s="1345" t="s">
        <v>347</v>
      </c>
      <c r="AM6" s="1342"/>
      <c r="AN6" s="5"/>
      <c r="AO6" s="5"/>
      <c r="AP6" s="5"/>
      <c r="AQ6" s="5"/>
      <c r="AR6" s="5"/>
      <c r="AS6" s="5"/>
    </row>
    <row r="7" spans="1:45" s="127" customFormat="1" ht="24" customHeight="1" thickBot="1" x14ac:dyDescent="0.45">
      <c r="A7" s="27"/>
      <c r="B7" s="645" t="s">
        <v>44</v>
      </c>
      <c r="C7" s="645"/>
      <c r="D7" s="163" t="s">
        <v>44</v>
      </c>
      <c r="E7" s="1340"/>
      <c r="F7" s="238" t="s">
        <v>333</v>
      </c>
      <c r="G7" s="239" t="s">
        <v>4</v>
      </c>
      <c r="H7" s="238" t="str">
        <f>$F$7</f>
        <v>Þús. tonn CO₂-íg.</v>
      </c>
      <c r="I7" s="239" t="s">
        <v>4</v>
      </c>
      <c r="J7" s="238" t="str">
        <f>$F$7</f>
        <v>Þús. tonn CO₂-íg.</v>
      </c>
      <c r="K7" s="239" t="s">
        <v>4</v>
      </c>
      <c r="L7" s="238" t="str">
        <f>$F$7</f>
        <v>Þús. tonn CO₂-íg.</v>
      </c>
      <c r="M7" s="238" t="s">
        <v>4</v>
      </c>
      <c r="O7" s="1340"/>
      <c r="P7" s="238" t="str">
        <f>$F$7</f>
        <v>Þús. tonn CO₂-íg.</v>
      </c>
      <c r="Q7" s="239" t="s">
        <v>4</v>
      </c>
      <c r="R7" s="238" t="str">
        <f>$F$7</f>
        <v>Þús. tonn CO₂-íg.</v>
      </c>
      <c r="S7" s="238" t="s">
        <v>4</v>
      </c>
      <c r="V7" s="162"/>
      <c r="Y7" s="1340"/>
      <c r="Z7" s="312" t="s">
        <v>338</v>
      </c>
      <c r="AA7" s="239" t="s">
        <v>4</v>
      </c>
      <c r="AB7" s="238" t="str">
        <f>$Z$7</f>
        <v>Thousand tons CO₂e</v>
      </c>
      <c r="AC7" s="239" t="s">
        <v>4</v>
      </c>
      <c r="AD7" s="238" t="str">
        <f>$Z$7</f>
        <v>Thousand tons CO₂e</v>
      </c>
      <c r="AE7" s="239" t="s">
        <v>4</v>
      </c>
      <c r="AF7" s="238" t="str">
        <f>$Z$7</f>
        <v>Thousand tons CO₂e</v>
      </c>
      <c r="AG7" s="238" t="s">
        <v>4</v>
      </c>
      <c r="AH7" s="5"/>
      <c r="AI7" s="1340"/>
      <c r="AJ7" s="238" t="str">
        <f>$Z$7</f>
        <v>Thousand tons CO₂e</v>
      </c>
      <c r="AK7" s="239" t="s">
        <v>4</v>
      </c>
      <c r="AL7" s="238" t="str">
        <f>$Z$7</f>
        <v>Thousand tons CO₂e</v>
      </c>
      <c r="AM7" s="238" t="s">
        <v>4</v>
      </c>
    </row>
    <row r="8" spans="1:45" ht="21" customHeight="1" thickTop="1" x14ac:dyDescent="0.4">
      <c r="A8" s="2" t="s">
        <v>38</v>
      </c>
      <c r="B8" s="2" t="s">
        <v>221</v>
      </c>
      <c r="C8" s="2" t="s">
        <v>228</v>
      </c>
      <c r="D8" s="131" t="s">
        <v>44</v>
      </c>
      <c r="E8" s="366" t="str">
        <f>'Talnagögn | Numerical Data'!$E$6</f>
        <v>Orka</v>
      </c>
      <c r="F8" s="290" cm="1">
        <f t="array" ref="F8">INDEX('Talnagögn | Numerical Data'!$1:$1048576,_xlfn.XMATCH($A8,'Talnagögn | Numerical Data'!$B:$B),_xlfn.XMATCH($A$1,'Talnagögn | Numerical Data'!$1:$1))</f>
        <v>1804.0629487280448</v>
      </c>
      <c r="G8" s="367">
        <f>$F8/$F$13</f>
        <v>0.17068160841753507</v>
      </c>
      <c r="H8" s="368" cm="1">
        <f t="array" ref="H8">INDEX('Talnagögn | Numerical Data'!$1:$1048576,_xlfn.XMATCH($A8,'Talnagögn | Numerical Data'!$B:$B),_xlfn.XMATCH($A$1,'Talnagögn | Numerical Data'!$1:$1))-INDEX('Talnagögn | Numerical Data'!$1:$1048576,_xlfn.XMATCH($A8,'Talnagögn | Numerical Data'!$B:$B),_xlfn.XMATCH($B$3,'Talnagögn | Numerical Data'!$1:$1))</f>
        <v>-62.417350175189085</v>
      </c>
      <c r="I8" s="369" cm="1">
        <f t="array" ref="I8">INDEX('Talnagögn | Numerical Data'!$1:$1048576,_xlfn.XMATCH($A8,'Talnagögn | Numerical Data'!$B:$B),_xlfn.XMATCH($A$1,'Talnagögn | Numerical Data'!$1:$1))/INDEX('Talnagögn | Numerical Data'!$1:$1048576,_xlfn.XMATCH($A8,'Talnagögn | Numerical Data'!$B:$B),_xlfn.XMATCH($B$3,'Talnagögn | Numerical Data'!$1:$1))-1</f>
        <v>-3.3441204930942048E-2</v>
      </c>
      <c r="J8" s="290" cm="1">
        <f t="array" ref="J8">INDEX('Talnagögn | Numerical Data'!$1:$1048576,_xlfn.XMATCH($A8,'Talnagögn | Numerical Data'!$B:$B),_xlfn.XMATCH($A$1,'Talnagögn | Numerical Data'!$1:$1))-INDEX('Talnagögn | Numerical Data'!$1:$1048576,_xlfn.XMATCH($A8,'Talnagögn | Numerical Data'!$B:$B),_xlfn.XMATCH($B$2,'Talnagögn | Numerical Data'!$1:$1))</f>
        <v>-352.27133380126816</v>
      </c>
      <c r="K8" s="367" cm="1">
        <f t="array" ref="K8">INDEX('Talnagögn | Numerical Data'!$1:$1048576,_xlfn.XMATCH($A8,'Talnagögn | Numerical Data'!$B:$B),_xlfn.XMATCH($A$1,'Talnagögn | Numerical Data'!$1:$1))/INDEX('Talnagögn | Numerical Data'!$1:$1048576,_xlfn.XMATCH($A8,'Talnagögn | Numerical Data'!$B:$B),_xlfn.XMATCH($B$2,'Talnagögn | Numerical Data'!$1:$1))-1</f>
        <v>-0.16336582720748882</v>
      </c>
      <c r="L8" s="290" cm="1">
        <f t="array" ref="L8">INDEX('Talnagögn | Numerical Data'!$1:$1048576,_xlfn.XMATCH($A8,'Talnagögn | Numerical Data'!$B:$B),_xlfn.XMATCH($A$1,'Talnagögn | Numerical Data'!$1:$1))-INDEX('Talnagögn | Numerical Data'!$1:$1048576,_xlfn.XMATCH($A8,'Talnagögn | Numerical Data'!$B:$B),_xlfn.XMATCH($B$1,'Talnagögn | Numerical Data'!$1:$1))</f>
        <v>-36.503890116164257</v>
      </c>
      <c r="M8" s="293" cm="1">
        <f t="array" ref="M8">INDEX('Talnagögn | Numerical Data'!$1:$1048576,_xlfn.XMATCH($A8,'Talnagögn | Numerical Data'!$B:$B),_xlfn.XMATCH($A$1,'Talnagögn | Numerical Data'!$1:$1))/INDEX('Talnagögn | Numerical Data'!$1:$1048576,_xlfn.XMATCH($A8,'Talnagögn | Numerical Data'!$B:$B),_xlfn.XMATCH($B$1,'Talnagögn | Numerical Data'!$1:$1))-1</f>
        <v>-1.9832960882358974E-2</v>
      </c>
      <c r="O8" s="366" t="str">
        <f>'Talnagögn | Numerical Data'!$E$6</f>
        <v>Orka</v>
      </c>
      <c r="P8" s="290" cm="1">
        <f t="array" ref="P8">INDEX('Talnagögn | Numerical Data'!$1:$1048576,_xlfn.XMATCH($B8,'Talnagögn | Numerical Data'!$C:$C),_xlfn.XMATCH($B$4,'Talnagögn | Numerical Data'!$1:$1))-INDEX('Talnagögn | Numerical Data'!$1:$1048576,_xlfn.XMATCH($A8,'Talnagögn | Numerical Data'!$B:$B),_xlfn.XMATCH($B$2,'Talnagögn | Numerical Data'!$1:$1))</f>
        <v>-540.39631467036611</v>
      </c>
      <c r="Q8" s="367" cm="1">
        <f t="array" ref="Q8">INDEX('Talnagögn | Numerical Data'!$1:$1048576,_xlfn.XMATCH($B8,'Talnagögn | Numerical Data'!$C:$C),_xlfn.XMATCH($B$4,'Talnagögn | Numerical Data'!$1:$1))/INDEX('Talnagögn | Numerical Data'!$1:$1048576,_xlfn.XMATCH($A8,'Talnagögn | Numerical Data'!$B:$B),_xlfn.XMATCH($B$2,'Talnagögn | Numerical Data'!$1:$1))-1</f>
        <v>-0.25060878503331963</v>
      </c>
      <c r="R8" s="368" cm="1">
        <f t="array" ref="R8">INDEX('Talnagögn | Numerical Data'!$1:$1048576,_xlfn.XMATCH($B8,'Talnagögn | Numerical Data'!$C:$C),_xlfn.XMATCH($B$5,'Talnagögn | Numerical Data'!$1:$1))-INDEX('Talnagögn | Numerical Data'!$1:$1048576,_xlfn.XMATCH($A8,'Talnagögn | Numerical Data'!$B:$B),_xlfn.XMATCH($B$1,'Talnagögn | Numerical Data'!$1:$1))</f>
        <v>-1395.6456518897699</v>
      </c>
      <c r="S8" s="681" cm="1">
        <f t="array" ref="S8">INDEX('Talnagögn | Numerical Data'!$1:$1048576,_xlfn.XMATCH($B8,'Talnagögn | Numerical Data'!$C:$C),_xlfn.XMATCH($B$5,'Talnagögn | Numerical Data'!$1:$1))/INDEX('Talnagögn | Numerical Data'!$1:$1048576,_xlfn.XMATCH($A8,'Talnagögn | Numerical Data'!$B:$B),_xlfn.XMATCH($B$1,'Talnagögn | Numerical Data'!$1:$1))-1</f>
        <v>-0.75826947570465353</v>
      </c>
      <c r="V8" s="408"/>
      <c r="W8" s="137"/>
      <c r="Y8" s="366" t="str">
        <f>'Talnagögn | Numerical Data'!$G$6</f>
        <v>Energy</v>
      </c>
      <c r="Z8" s="290" cm="1">
        <f t="array" ref="Z8">INDEX('Talnagögn | Numerical Data'!$1:$1048576,_xlfn.XMATCH($A8,'Talnagögn | Numerical Data'!$B:$B),_xlfn.XMATCH($A$1,'Talnagögn | Numerical Data'!$1:$1))</f>
        <v>1804.0629487280448</v>
      </c>
      <c r="AA8" s="367">
        <f>$F8/$F$13</f>
        <v>0.17068160841753507</v>
      </c>
      <c r="AB8" s="368" cm="1">
        <f t="array" ref="AB8">INDEX('Talnagögn | Numerical Data'!$1:$1048576,_xlfn.XMATCH($A8,'Talnagögn | Numerical Data'!$B:$B),_xlfn.XMATCH($A$1,'Talnagögn | Numerical Data'!$1:$1))-INDEX('Talnagögn | Numerical Data'!$1:$1048576,_xlfn.XMATCH($A8,'Talnagögn | Numerical Data'!$B:$B),_xlfn.XMATCH($B$3,'Talnagögn | Numerical Data'!$1:$1))</f>
        <v>-62.417350175189085</v>
      </c>
      <c r="AC8" s="369" cm="1">
        <f t="array" ref="AC8">INDEX('Talnagögn | Numerical Data'!$1:$1048576,_xlfn.XMATCH($A8,'Talnagögn | Numerical Data'!$B:$B),_xlfn.XMATCH($A$1,'Talnagögn | Numerical Data'!$1:$1))/INDEX('Talnagögn | Numerical Data'!$1:$1048576,_xlfn.XMATCH($A8,'Talnagögn | Numerical Data'!$B:$B),_xlfn.XMATCH($B$3,'Talnagögn | Numerical Data'!$1:$1))-1</f>
        <v>-3.3441204930942048E-2</v>
      </c>
      <c r="AD8" s="290" cm="1">
        <f t="array" ref="AD8">INDEX('Talnagögn | Numerical Data'!$1:$1048576,_xlfn.XMATCH($A8,'Talnagögn | Numerical Data'!$B:$B),_xlfn.XMATCH($A$1,'Talnagögn | Numerical Data'!$1:$1))-INDEX('Talnagögn | Numerical Data'!$1:$1048576,_xlfn.XMATCH($A8,'Talnagögn | Numerical Data'!$B:$B),_xlfn.XMATCH($B$2,'Talnagögn | Numerical Data'!$1:$1))</f>
        <v>-352.27133380126816</v>
      </c>
      <c r="AE8" s="367" cm="1">
        <f t="array" ref="AE8">INDEX('Talnagögn | Numerical Data'!$1:$1048576,_xlfn.XMATCH($A8,'Talnagögn | Numerical Data'!$B:$B),_xlfn.XMATCH($A$1,'Talnagögn | Numerical Data'!$1:$1))/INDEX('Talnagögn | Numerical Data'!$1:$1048576,_xlfn.XMATCH($A8,'Talnagögn | Numerical Data'!$B:$B),_xlfn.XMATCH($B$2,'Talnagögn | Numerical Data'!$1:$1))-1</f>
        <v>-0.16336582720748882</v>
      </c>
      <c r="AF8" s="290" cm="1">
        <f t="array" ref="AF8">INDEX('Talnagögn | Numerical Data'!$1:$1048576,_xlfn.XMATCH($A8,'Talnagögn | Numerical Data'!$B:$B),_xlfn.XMATCH($A$1,'Talnagögn | Numerical Data'!$1:$1))-INDEX('Talnagögn | Numerical Data'!$1:$1048576,_xlfn.XMATCH($A8,'Talnagögn | Numerical Data'!$B:$B),_xlfn.XMATCH($B$1,'Talnagögn | Numerical Data'!$1:$1))</f>
        <v>-36.503890116164257</v>
      </c>
      <c r="AG8" s="293" cm="1">
        <f t="array" ref="AG8">INDEX('Talnagögn | Numerical Data'!$1:$1048576,_xlfn.XMATCH($A8,'Talnagögn | Numerical Data'!$B:$B),_xlfn.XMATCH($A$1,'Talnagögn | Numerical Data'!$1:$1))/INDEX('Talnagögn | Numerical Data'!$1:$1048576,_xlfn.XMATCH($A8,'Talnagögn | Numerical Data'!$B:$B),_xlfn.XMATCH($B$1,'Talnagögn | Numerical Data'!$1:$1))-1</f>
        <v>-1.9832960882358974E-2</v>
      </c>
      <c r="AH8" s="5"/>
      <c r="AI8" s="366" t="str">
        <f>'Talnagögn | Numerical Data'!$G$6</f>
        <v>Energy</v>
      </c>
      <c r="AJ8" s="290" cm="1">
        <f t="array" ref="AJ8">INDEX('Talnagögn | Numerical Data'!$1:$1048576,_xlfn.XMATCH($B8,'Talnagögn | Numerical Data'!$C:$C),_xlfn.XMATCH($B$4,'Talnagögn | Numerical Data'!$1:$1))-INDEX('Talnagögn | Numerical Data'!$1:$1048576,_xlfn.XMATCH($A8,'Talnagögn | Numerical Data'!$B:$B),_xlfn.XMATCH($B$2,'Talnagögn | Numerical Data'!$1:$1))</f>
        <v>-540.39631467036611</v>
      </c>
      <c r="AK8" s="367" cm="1">
        <f t="array" ref="AK8">INDEX('Talnagögn | Numerical Data'!$1:$1048576,_xlfn.XMATCH($B8,'Talnagögn | Numerical Data'!$C:$C),_xlfn.XMATCH($B$4,'Talnagögn | Numerical Data'!$1:$1))/INDEX('Talnagögn | Numerical Data'!$1:$1048576,_xlfn.XMATCH($A8,'Talnagögn | Numerical Data'!$B:$B),_xlfn.XMATCH($B$2,'Talnagögn | Numerical Data'!$1:$1))-1</f>
        <v>-0.25060878503331963</v>
      </c>
      <c r="AL8" s="368" cm="1">
        <f t="array" ref="AL8">INDEX('Talnagögn | Numerical Data'!$1:$1048576,_xlfn.XMATCH($B8,'Talnagögn | Numerical Data'!$C:$C),_xlfn.XMATCH($B$5,'Talnagögn | Numerical Data'!$1:$1))-INDEX('Talnagögn | Numerical Data'!$1:$1048576,_xlfn.XMATCH($A8,'Talnagögn | Numerical Data'!$B:$B),_xlfn.XMATCH($B$1,'Talnagögn | Numerical Data'!$1:$1))</f>
        <v>-1395.6456518897699</v>
      </c>
      <c r="AM8" s="681" cm="1">
        <f t="array" ref="AM8">INDEX('Talnagögn | Numerical Data'!$1:$1048576,_xlfn.XMATCH($B8,'Talnagögn | Numerical Data'!$C:$C),_xlfn.XMATCH($B$5,'Talnagögn | Numerical Data'!$1:$1))/INDEX('Talnagögn | Numerical Data'!$1:$1048576,_xlfn.XMATCH($A8,'Talnagögn | Numerical Data'!$B:$B),_xlfn.XMATCH($B$1,'Talnagögn | Numerical Data'!$1:$1))-1</f>
        <v>-0.75826947570465353</v>
      </c>
      <c r="AN8" s="5"/>
      <c r="AO8" s="5"/>
      <c r="AP8" s="5"/>
      <c r="AQ8" s="5"/>
      <c r="AR8" s="5"/>
      <c r="AS8" s="5"/>
    </row>
    <row r="9" spans="1:45" ht="21" customHeight="1" x14ac:dyDescent="0.4">
      <c r="A9" s="2" t="s">
        <v>39</v>
      </c>
      <c r="B9" s="2" t="s">
        <v>222</v>
      </c>
      <c r="C9" s="2" t="s">
        <v>229</v>
      </c>
      <c r="D9" s="131" t="s">
        <v>44</v>
      </c>
      <c r="E9" s="370" t="str">
        <f>'Talnagögn | Numerical Data'!$E$7</f>
        <v>Iðnaður og vörunotkun</v>
      </c>
      <c r="F9" s="290" cm="1">
        <f t="array" ref="F9">INDEX('Talnagögn | Numerical Data'!$1:$1048576,_xlfn.XMATCH($A9,'Talnagögn | Numerical Data'!$B:$B),_xlfn.XMATCH($A$1,'Talnagögn | Numerical Data'!$1:$1))</f>
        <v>1794.4196472392562</v>
      </c>
      <c r="G9" s="371">
        <f>$F9/$F$13</f>
        <v>0.16976925987131494</v>
      </c>
      <c r="H9" s="290" cm="1">
        <f t="array" ref="H9">INDEX('Talnagögn | Numerical Data'!$1:$1048576,_xlfn.XMATCH($A9,'Talnagögn | Numerical Data'!$B:$B),_xlfn.XMATCH($A$1,'Talnagögn | Numerical Data'!$1:$1))-INDEX('Talnagögn | Numerical Data'!$1:$1048576,_xlfn.XMATCH($A9,'Talnagögn | Numerical Data'!$B:$B),_xlfn.XMATCH($B$3,'Talnagögn | Numerical Data'!$1:$1))</f>
        <v>-213.05031758347627</v>
      </c>
      <c r="I9" s="371" cm="1">
        <f t="array" ref="I9">INDEX('Talnagögn | Numerical Data'!$1:$1048576,_xlfn.XMATCH($A9,'Talnagögn | Numerical Data'!$B:$B),_xlfn.XMATCH($A$1,'Talnagögn | Numerical Data'!$1:$1))/INDEX('Talnagögn | Numerical Data'!$1:$1048576,_xlfn.XMATCH($A9,'Talnagögn | Numerical Data'!$B:$B),_xlfn.XMATCH($B$3,'Talnagögn | Numerical Data'!$1:$1))-1</f>
        <v>-0.10612876970355545</v>
      </c>
      <c r="J9" s="290" cm="1">
        <f t="array" ref="J9">INDEX('Talnagögn | Numerical Data'!$1:$1048576,_xlfn.XMATCH($A9,'Talnagögn | Numerical Data'!$B:$B),_xlfn.XMATCH($A$1,'Talnagögn | Numerical Data'!$1:$1))-INDEX('Talnagögn | Numerical Data'!$1:$1048576,_xlfn.XMATCH($A9,'Talnagögn | Numerical Data'!$B:$B),_xlfn.XMATCH($B$2,'Talnagögn | Numerical Data'!$1:$1))</f>
        <v>843.51731937973761</v>
      </c>
      <c r="K9" s="371" cm="1">
        <f t="array" ref="K9">INDEX('Talnagögn | Numerical Data'!$1:$1048576,_xlfn.XMATCH($A9,'Talnagögn | Numerical Data'!$B:$B),_xlfn.XMATCH($A$1,'Talnagögn | Numerical Data'!$1:$1))/INDEX('Talnagögn | Numerical Data'!$1:$1048576,_xlfn.XMATCH($A9,'Talnagögn | Numerical Data'!$B:$B),_xlfn.XMATCH($B$2,'Talnagögn | Numerical Data'!$1:$1))-1</f>
        <v>0.887070411614719</v>
      </c>
      <c r="L9" s="290" cm="1">
        <f t="array" ref="L9">INDEX('Talnagögn | Numerical Data'!$1:$1048576,_xlfn.XMATCH($A9,'Talnagögn | Numerical Data'!$B:$B),_xlfn.XMATCH($A$1,'Talnagögn | Numerical Data'!$1:$1))-INDEX('Talnagögn | Numerical Data'!$1:$1048576,_xlfn.XMATCH($A9,'Talnagögn | Numerical Data'!$B:$B),_xlfn.XMATCH($B$1,'Talnagögn | Numerical Data'!$1:$1))</f>
        <v>892.2450581321142</v>
      </c>
      <c r="M9" s="373" cm="1">
        <f t="array" ref="M9">INDEX('Talnagögn | Numerical Data'!$1:$1048576,_xlfn.XMATCH($A9,'Talnagögn | Numerical Data'!$B:$B),_xlfn.XMATCH($A$1,'Talnagögn | Numerical Data'!$1:$1))/INDEX('Talnagögn | Numerical Data'!$1:$1048576,_xlfn.XMATCH($A9,'Talnagögn | Numerical Data'!$B:$B),_xlfn.XMATCH($B$1,'Talnagögn | Numerical Data'!$1:$1))-1</f>
        <v>0.98899378114289971</v>
      </c>
      <c r="O9" s="370" t="str">
        <f>'Talnagögn | Numerical Data'!$E$7</f>
        <v>Iðnaður og vörunotkun</v>
      </c>
      <c r="P9" s="290" cm="1">
        <f t="array" ref="P9">INDEX('Talnagögn | Numerical Data'!$1:$1048576,_xlfn.XMATCH($B9,'Talnagögn | Numerical Data'!$C:$C),_xlfn.XMATCH($B$4,'Talnagögn | Numerical Data'!$1:$1))-INDEX('Talnagögn | Numerical Data'!$1:$1048576,_xlfn.XMATCH($A9,'Talnagögn | Numerical Data'!$B:$B),_xlfn.XMATCH($B$2,'Talnagögn | Numerical Data'!$1:$1))</f>
        <v>1018.8195136841188</v>
      </c>
      <c r="Q9" s="371" cm="1">
        <f t="array" ref="Q9">INDEX('Talnagögn | Numerical Data'!$1:$1048576,_xlfn.XMATCH($B9,'Talnagögn | Numerical Data'!$C:$C),_xlfn.XMATCH($B$4,'Talnagögn | Numerical Data'!$1:$1))/INDEX('Talnagögn | Numerical Data'!$1:$1048576,_xlfn.XMATCH($A9,'Talnagögn | Numerical Data'!$B:$B),_xlfn.XMATCH($B$2,'Talnagögn | Numerical Data'!$1:$1))-1</f>
        <v>1.0714239347562455</v>
      </c>
      <c r="R9" s="290" cm="1">
        <f t="array" ref="R9">INDEX('Talnagögn | Numerical Data'!$1:$1048576,_xlfn.XMATCH($B9,'Talnagögn | Numerical Data'!$C:$C),_xlfn.XMATCH($B$5,'Talnagögn | Numerical Data'!$1:$1))-INDEX('Talnagögn | Numerical Data'!$1:$1048576,_xlfn.XMATCH($A9,'Talnagögn | Numerical Data'!$B:$B),_xlfn.XMATCH($B$1,'Talnagögn | Numerical Data'!$1:$1))</f>
        <v>1050.2147585854218</v>
      </c>
      <c r="S9" s="292" cm="1">
        <f t="array" ref="S9">INDEX('Talnagögn | Numerical Data'!$1:$1048576,_xlfn.XMATCH($B9,'Talnagögn | Numerical Data'!$C:$C),_xlfn.XMATCH($B$5,'Talnagögn | Numerical Data'!$1:$1))/INDEX('Talnagögn | Numerical Data'!$1:$1048576,_xlfn.XMATCH($A9,'Talnagögn | Numerical Data'!$B:$B),_xlfn.XMATCH($B$1,'Talnagögn | Numerical Data'!$1:$1))-1</f>
        <v>1.1640925950095662</v>
      </c>
      <c r="V9" s="408"/>
      <c r="W9" s="137"/>
      <c r="Y9" s="370" t="str">
        <f>'Talnagögn | Numerical Data'!$G$7</f>
        <v>Industrial Processes and Product Use</v>
      </c>
      <c r="Z9" s="290" cm="1">
        <f t="array" ref="Z9">INDEX('Talnagögn | Numerical Data'!$1:$1048576,_xlfn.XMATCH($A9,'Talnagögn | Numerical Data'!$B:$B),_xlfn.XMATCH($A$1,'Talnagögn | Numerical Data'!$1:$1))</f>
        <v>1794.4196472392562</v>
      </c>
      <c r="AA9" s="371">
        <f>$F9/$F$13</f>
        <v>0.16976925987131494</v>
      </c>
      <c r="AB9" s="290" cm="1">
        <f t="array" ref="AB9">INDEX('Talnagögn | Numerical Data'!$1:$1048576,_xlfn.XMATCH($A9,'Talnagögn | Numerical Data'!$B:$B),_xlfn.XMATCH($A$1,'Talnagögn | Numerical Data'!$1:$1))-INDEX('Talnagögn | Numerical Data'!$1:$1048576,_xlfn.XMATCH($A9,'Talnagögn | Numerical Data'!$B:$B),_xlfn.XMATCH($B$3,'Talnagögn | Numerical Data'!$1:$1))</f>
        <v>-213.05031758347627</v>
      </c>
      <c r="AC9" s="371" cm="1">
        <f t="array" ref="AC9">INDEX('Talnagögn | Numerical Data'!$1:$1048576,_xlfn.XMATCH($A9,'Talnagögn | Numerical Data'!$B:$B),_xlfn.XMATCH($A$1,'Talnagögn | Numerical Data'!$1:$1))/INDEX('Talnagögn | Numerical Data'!$1:$1048576,_xlfn.XMATCH($A9,'Talnagögn | Numerical Data'!$B:$B),_xlfn.XMATCH($B$3,'Talnagögn | Numerical Data'!$1:$1))-1</f>
        <v>-0.10612876970355545</v>
      </c>
      <c r="AD9" s="290" cm="1">
        <f t="array" ref="AD9">INDEX('Talnagögn | Numerical Data'!$1:$1048576,_xlfn.XMATCH($A9,'Talnagögn | Numerical Data'!$B:$B),_xlfn.XMATCH($A$1,'Talnagögn | Numerical Data'!$1:$1))-INDEX('Talnagögn | Numerical Data'!$1:$1048576,_xlfn.XMATCH($A9,'Talnagögn | Numerical Data'!$B:$B),_xlfn.XMATCH($B$2,'Talnagögn | Numerical Data'!$1:$1))</f>
        <v>843.51731937973761</v>
      </c>
      <c r="AE9" s="371" cm="1">
        <f t="array" ref="AE9">INDEX('Talnagögn | Numerical Data'!$1:$1048576,_xlfn.XMATCH($A9,'Talnagögn | Numerical Data'!$B:$B),_xlfn.XMATCH($A$1,'Talnagögn | Numerical Data'!$1:$1))/INDEX('Talnagögn | Numerical Data'!$1:$1048576,_xlfn.XMATCH($A9,'Talnagögn | Numerical Data'!$B:$B),_xlfn.XMATCH($B$2,'Talnagögn | Numerical Data'!$1:$1))-1</f>
        <v>0.887070411614719</v>
      </c>
      <c r="AF9" s="290" cm="1">
        <f t="array" ref="AF9">INDEX('Talnagögn | Numerical Data'!$1:$1048576,_xlfn.XMATCH($A9,'Talnagögn | Numerical Data'!$B:$B),_xlfn.XMATCH($A$1,'Talnagögn | Numerical Data'!$1:$1))-INDEX('Talnagögn | Numerical Data'!$1:$1048576,_xlfn.XMATCH($A9,'Talnagögn | Numerical Data'!$B:$B),_xlfn.XMATCH($B$1,'Talnagögn | Numerical Data'!$1:$1))</f>
        <v>892.2450581321142</v>
      </c>
      <c r="AG9" s="373" cm="1">
        <f t="array" ref="AG9">INDEX('Talnagögn | Numerical Data'!$1:$1048576,_xlfn.XMATCH($A9,'Talnagögn | Numerical Data'!$B:$B),_xlfn.XMATCH($A$1,'Talnagögn | Numerical Data'!$1:$1))/INDEX('Talnagögn | Numerical Data'!$1:$1048576,_xlfn.XMATCH($A9,'Talnagögn | Numerical Data'!$B:$B),_xlfn.XMATCH($B$1,'Talnagögn | Numerical Data'!$1:$1))-1</f>
        <v>0.98899378114289971</v>
      </c>
      <c r="AH9" s="5"/>
      <c r="AI9" s="370" t="str">
        <f>'Talnagögn | Numerical Data'!$G$7</f>
        <v>Industrial Processes and Product Use</v>
      </c>
      <c r="AJ9" s="290" cm="1">
        <f t="array" ref="AJ9">INDEX('Talnagögn | Numerical Data'!$1:$1048576,_xlfn.XMATCH($B9,'Talnagögn | Numerical Data'!$C:$C),_xlfn.XMATCH($B$4,'Talnagögn | Numerical Data'!$1:$1))-INDEX('Talnagögn | Numerical Data'!$1:$1048576,_xlfn.XMATCH($A9,'Talnagögn | Numerical Data'!$B:$B),_xlfn.XMATCH($B$2,'Talnagögn | Numerical Data'!$1:$1))</f>
        <v>1018.8195136841188</v>
      </c>
      <c r="AK9" s="371" cm="1">
        <f t="array" ref="AK9">INDEX('Talnagögn | Numerical Data'!$1:$1048576,_xlfn.XMATCH($B9,'Talnagögn | Numerical Data'!$C:$C),_xlfn.XMATCH($B$4,'Talnagögn | Numerical Data'!$1:$1))/INDEX('Talnagögn | Numerical Data'!$1:$1048576,_xlfn.XMATCH($A9,'Talnagögn | Numerical Data'!$B:$B),_xlfn.XMATCH($B$2,'Talnagögn | Numerical Data'!$1:$1))-1</f>
        <v>1.0714239347562455</v>
      </c>
      <c r="AL9" s="290" cm="1">
        <f t="array" ref="AL9">INDEX('Talnagögn | Numerical Data'!$1:$1048576,_xlfn.XMATCH($B9,'Talnagögn | Numerical Data'!$C:$C),_xlfn.XMATCH($B$5,'Talnagögn | Numerical Data'!$1:$1))-INDEX('Talnagögn | Numerical Data'!$1:$1048576,_xlfn.XMATCH($A9,'Talnagögn | Numerical Data'!$B:$B),_xlfn.XMATCH($B$1,'Talnagögn | Numerical Data'!$1:$1))</f>
        <v>1050.2147585854218</v>
      </c>
      <c r="AM9" s="292" cm="1">
        <f t="array" ref="AM9">INDEX('Talnagögn | Numerical Data'!$1:$1048576,_xlfn.XMATCH($B9,'Talnagögn | Numerical Data'!$C:$C),_xlfn.XMATCH($B$5,'Talnagögn | Numerical Data'!$1:$1))/INDEX('Talnagögn | Numerical Data'!$1:$1048576,_xlfn.XMATCH($A9,'Talnagögn | Numerical Data'!$B:$B),_xlfn.XMATCH($B$1,'Talnagögn | Numerical Data'!$1:$1))-1</f>
        <v>1.1640925950095662</v>
      </c>
      <c r="AN9" s="5"/>
      <c r="AO9" s="5"/>
      <c r="AP9" s="5"/>
      <c r="AQ9" s="5"/>
      <c r="AR9" s="5"/>
      <c r="AS9" s="5"/>
    </row>
    <row r="10" spans="1:45" ht="21" customHeight="1" x14ac:dyDescent="0.4">
      <c r="A10" s="2" t="s">
        <v>40</v>
      </c>
      <c r="B10" s="2" t="s">
        <v>223</v>
      </c>
      <c r="C10" s="2" t="s">
        <v>230</v>
      </c>
      <c r="D10" s="131" t="s">
        <v>44</v>
      </c>
      <c r="E10" s="370" t="str">
        <f>'Talnagögn | Numerical Data'!$E$8</f>
        <v>Landbúnaður</v>
      </c>
      <c r="F10" s="290" cm="1">
        <f t="array" ref="F10">INDEX('Talnagögn | Numerical Data'!$1:$1048576,_xlfn.XMATCH($A10,'Talnagögn | Numerical Data'!$B:$B),_xlfn.XMATCH($A$1,'Talnagögn | Numerical Data'!$1:$1))</f>
        <v>668.34042724521601</v>
      </c>
      <c r="G10" s="372">
        <f>$F10/$F$13</f>
        <v>6.3231396206603299E-2</v>
      </c>
      <c r="H10" s="908" cm="1">
        <f t="array" ref="H10">INDEX('Talnagögn | Numerical Data'!$1:$1048576,_xlfn.XMATCH($A10,'Talnagögn | Numerical Data'!$B:$B),_xlfn.XMATCH($A$1,'Talnagögn | Numerical Data'!$1:$1))-INDEX('Talnagögn | Numerical Data'!$1:$1048576,_xlfn.XMATCH($A10,'Talnagögn | Numerical Data'!$B:$B),_xlfn.XMATCH($B$3,'Talnagögn | Numerical Data'!$1:$1))</f>
        <v>-0.41798729362869835</v>
      </c>
      <c r="I10" s="907" cm="1">
        <f t="array" ref="I10">INDEX('Talnagögn | Numerical Data'!$1:$1048576,_xlfn.XMATCH($A10,'Talnagögn | Numerical Data'!$B:$B),_xlfn.XMATCH($A$1,'Talnagögn | Numerical Data'!$1:$1))/INDEX('Talnagögn | Numerical Data'!$1:$1048576,_xlfn.XMATCH($A10,'Talnagögn | Numerical Data'!$B:$B),_xlfn.XMATCH($B$3,'Talnagögn | Numerical Data'!$1:$1))-1</f>
        <v>-6.2501986448559865E-4</v>
      </c>
      <c r="J10" s="296" cm="1">
        <f t="array" ref="J10">INDEX('Talnagögn | Numerical Data'!$1:$1048576,_xlfn.XMATCH($A10,'Talnagögn | Numerical Data'!$B:$B),_xlfn.XMATCH($A$1,'Talnagögn | Numerical Data'!$1:$1))-INDEX('Talnagögn | Numerical Data'!$1:$1048576,_xlfn.XMATCH($A10,'Talnagögn | Numerical Data'!$B:$B),_xlfn.XMATCH($B$2,'Talnagögn | Numerical Data'!$1:$1))</f>
        <v>-17.944766173767107</v>
      </c>
      <c r="K10" s="372" cm="1">
        <f t="array" ref="K10">INDEX('Talnagögn | Numerical Data'!$1:$1048576,_xlfn.XMATCH($A10,'Talnagögn | Numerical Data'!$B:$B),_xlfn.XMATCH($A$1,'Talnagögn | Numerical Data'!$1:$1))/INDEX('Talnagögn | Numerical Data'!$1:$1048576,_xlfn.XMATCH($A10,'Talnagögn | Numerical Data'!$B:$B),_xlfn.XMATCH($B$2,'Talnagögn | Numerical Data'!$1:$1))-1</f>
        <v>-2.6147680797787065E-2</v>
      </c>
      <c r="L10" s="290" cm="1">
        <f t="array" ref="L10">INDEX('Talnagögn | Numerical Data'!$1:$1048576,_xlfn.XMATCH($A10,'Talnagögn | Numerical Data'!$B:$B),_xlfn.XMATCH($A$1,'Talnagögn | Numerical Data'!$1:$1))-INDEX('Talnagögn | Numerical Data'!$1:$1048576,_xlfn.XMATCH($A10,'Talnagögn | Numerical Data'!$B:$B),_xlfn.XMATCH($B$1,'Talnagögn | Numerical Data'!$1:$1))</f>
        <v>-53.430400731629675</v>
      </c>
      <c r="M10" s="374" cm="1">
        <f t="array" ref="M10">INDEX('Talnagögn | Numerical Data'!$1:$1048576,_xlfn.XMATCH($A10,'Talnagögn | Numerical Data'!$B:$B),_xlfn.XMATCH($A$1,'Talnagögn | Numerical Data'!$1:$1))/INDEX('Talnagögn | Numerical Data'!$1:$1048576,_xlfn.XMATCH($A10,'Talnagögn | Numerical Data'!$B:$B),_xlfn.XMATCH($B$1,'Talnagögn | Numerical Data'!$1:$1))-1</f>
        <v>-7.4026822172070017E-2</v>
      </c>
      <c r="O10" s="370" t="str">
        <f>'Talnagögn | Numerical Data'!$E$8</f>
        <v>Landbúnaður</v>
      </c>
      <c r="P10" s="290" cm="1">
        <f t="array" ref="P10">INDEX('Talnagögn | Numerical Data'!$1:$1048576,_xlfn.XMATCH($B10,'Talnagögn | Numerical Data'!$C:$C),_xlfn.XMATCH($B$4,'Talnagögn | Numerical Data'!$1:$1))-INDEX('Talnagögn | Numerical Data'!$1:$1048576,_xlfn.XMATCH($A10,'Talnagögn | Numerical Data'!$B:$B),_xlfn.XMATCH($B$2,'Talnagögn | Numerical Data'!$1:$1))</f>
        <v>-35.971427832382574</v>
      </c>
      <c r="Q10" s="372" cm="1">
        <f t="array" ref="Q10">INDEX('Talnagögn | Numerical Data'!$1:$1048576,_xlfn.XMATCH($B10,'Talnagögn | Numerical Data'!$C:$C),_xlfn.XMATCH($B$4,'Talnagögn | Numerical Data'!$1:$1))/INDEX('Talnagögn | Numerical Data'!$1:$1048576,_xlfn.XMATCH($A10,'Talnagögn | Numerical Data'!$B:$B),_xlfn.XMATCH($B$2,'Talnagögn | Numerical Data'!$1:$1))-1</f>
        <v>-5.2414693158652659E-2</v>
      </c>
      <c r="R10" s="290" cm="1">
        <f t="array" ref="R10">INDEX('Talnagögn | Numerical Data'!$1:$1048576,_xlfn.XMATCH($B10,'Talnagögn | Numerical Data'!$C:$C),_xlfn.XMATCH($B$5,'Talnagögn | Numerical Data'!$1:$1))-INDEX('Talnagögn | Numerical Data'!$1:$1048576,_xlfn.XMATCH($A10,'Talnagögn | Numerical Data'!$B:$B),_xlfn.XMATCH($B$1,'Talnagögn | Numerical Data'!$1:$1))</f>
        <v>-133.90036890007912</v>
      </c>
      <c r="S10" s="292" cm="1">
        <f t="array" ref="S10">INDEX('Talnagögn | Numerical Data'!$1:$1048576,_xlfn.XMATCH($B10,'Talnagögn | Numerical Data'!$C:$C),_xlfn.XMATCH($B$5,'Talnagögn | Numerical Data'!$1:$1))/INDEX('Talnagögn | Numerical Data'!$1:$1048576,_xlfn.XMATCH($A10,'Talnagögn | Numerical Data'!$B:$B),_xlfn.XMATCH($B$1,'Talnagögn | Numerical Data'!$1:$1))-1</f>
        <v>-0.18551645994810784</v>
      </c>
      <c r="V10" s="408"/>
      <c r="W10" s="137"/>
      <c r="Y10" s="370" t="str">
        <f>'Talnagögn | Numerical Data'!$G$8</f>
        <v>Agriculture</v>
      </c>
      <c r="Z10" s="290" cm="1">
        <f t="array" ref="Z10">INDEX('Talnagögn | Numerical Data'!$1:$1048576,_xlfn.XMATCH($A10,'Talnagögn | Numerical Data'!$B:$B),_xlfn.XMATCH($A$1,'Talnagögn | Numerical Data'!$1:$1))</f>
        <v>668.34042724521601</v>
      </c>
      <c r="AA10" s="372">
        <f>$F10/$F$13</f>
        <v>6.3231396206603299E-2</v>
      </c>
      <c r="AB10" s="908" cm="1">
        <f t="array" ref="AB10">INDEX('Talnagögn | Numerical Data'!$1:$1048576,_xlfn.XMATCH($A10,'Talnagögn | Numerical Data'!$B:$B),_xlfn.XMATCH($A$1,'Talnagögn | Numerical Data'!$1:$1))-INDEX('Talnagögn | Numerical Data'!$1:$1048576,_xlfn.XMATCH($A10,'Talnagögn | Numerical Data'!$B:$B),_xlfn.XMATCH($B$3,'Talnagögn | Numerical Data'!$1:$1))</f>
        <v>-0.41798729362869835</v>
      </c>
      <c r="AC10" s="907" cm="1">
        <f t="array" ref="AC10">INDEX('Talnagögn | Numerical Data'!$1:$1048576,_xlfn.XMATCH($A10,'Talnagögn | Numerical Data'!$B:$B),_xlfn.XMATCH($A$1,'Talnagögn | Numerical Data'!$1:$1))/INDEX('Talnagögn | Numerical Data'!$1:$1048576,_xlfn.XMATCH($A10,'Talnagögn | Numerical Data'!$B:$B),_xlfn.XMATCH($B$3,'Talnagögn | Numerical Data'!$1:$1))-1</f>
        <v>-6.2501986448559865E-4</v>
      </c>
      <c r="AD10" s="296" cm="1">
        <f t="array" ref="AD10">INDEX('Talnagögn | Numerical Data'!$1:$1048576,_xlfn.XMATCH($A10,'Talnagögn | Numerical Data'!$B:$B),_xlfn.XMATCH($A$1,'Talnagögn | Numerical Data'!$1:$1))-INDEX('Talnagögn | Numerical Data'!$1:$1048576,_xlfn.XMATCH($A10,'Talnagögn | Numerical Data'!$B:$B),_xlfn.XMATCH($B$2,'Talnagögn | Numerical Data'!$1:$1))</f>
        <v>-17.944766173767107</v>
      </c>
      <c r="AE10" s="372" cm="1">
        <f t="array" ref="AE10">INDEX('Talnagögn | Numerical Data'!$1:$1048576,_xlfn.XMATCH($A10,'Talnagögn | Numerical Data'!$B:$B),_xlfn.XMATCH($A$1,'Talnagögn | Numerical Data'!$1:$1))/INDEX('Talnagögn | Numerical Data'!$1:$1048576,_xlfn.XMATCH($A10,'Talnagögn | Numerical Data'!$B:$B),_xlfn.XMATCH($B$2,'Talnagögn | Numerical Data'!$1:$1))-1</f>
        <v>-2.6147680797787065E-2</v>
      </c>
      <c r="AF10" s="290" cm="1">
        <f t="array" ref="AF10">INDEX('Talnagögn | Numerical Data'!$1:$1048576,_xlfn.XMATCH($A10,'Talnagögn | Numerical Data'!$B:$B),_xlfn.XMATCH($A$1,'Talnagögn | Numerical Data'!$1:$1))-INDEX('Talnagögn | Numerical Data'!$1:$1048576,_xlfn.XMATCH($A10,'Talnagögn | Numerical Data'!$B:$B),_xlfn.XMATCH($B$1,'Talnagögn | Numerical Data'!$1:$1))</f>
        <v>-53.430400731629675</v>
      </c>
      <c r="AG10" s="374" cm="1">
        <f t="array" ref="AG10">INDEX('Talnagögn | Numerical Data'!$1:$1048576,_xlfn.XMATCH($A10,'Talnagögn | Numerical Data'!$B:$B),_xlfn.XMATCH($A$1,'Talnagögn | Numerical Data'!$1:$1))/INDEX('Talnagögn | Numerical Data'!$1:$1048576,_xlfn.XMATCH($A10,'Talnagögn | Numerical Data'!$B:$B),_xlfn.XMATCH($B$1,'Talnagögn | Numerical Data'!$1:$1))-1</f>
        <v>-7.4026822172070017E-2</v>
      </c>
      <c r="AH10" s="5"/>
      <c r="AI10" s="370" t="str">
        <f>'Talnagögn | Numerical Data'!$G$8</f>
        <v>Agriculture</v>
      </c>
      <c r="AJ10" s="290" cm="1">
        <f t="array" ref="AJ10">INDEX('Talnagögn | Numerical Data'!$1:$1048576,_xlfn.XMATCH($B10,'Talnagögn | Numerical Data'!$C:$C),_xlfn.XMATCH($B$4,'Talnagögn | Numerical Data'!$1:$1))-INDEX('Talnagögn | Numerical Data'!$1:$1048576,_xlfn.XMATCH($A10,'Talnagögn | Numerical Data'!$B:$B),_xlfn.XMATCH($B$2,'Talnagögn | Numerical Data'!$1:$1))</f>
        <v>-35.971427832382574</v>
      </c>
      <c r="AK10" s="372" cm="1">
        <f t="array" ref="AK10">INDEX('Talnagögn | Numerical Data'!$1:$1048576,_xlfn.XMATCH($B10,'Talnagögn | Numerical Data'!$C:$C),_xlfn.XMATCH($B$4,'Talnagögn | Numerical Data'!$1:$1))/INDEX('Talnagögn | Numerical Data'!$1:$1048576,_xlfn.XMATCH($A10,'Talnagögn | Numerical Data'!$B:$B),_xlfn.XMATCH($B$2,'Talnagögn | Numerical Data'!$1:$1))-1</f>
        <v>-5.2414693158652659E-2</v>
      </c>
      <c r="AL10" s="290" cm="1">
        <f t="array" ref="AL10">INDEX('Talnagögn | Numerical Data'!$1:$1048576,_xlfn.XMATCH($B10,'Talnagögn | Numerical Data'!$C:$C),_xlfn.XMATCH($B$5,'Talnagögn | Numerical Data'!$1:$1))-INDEX('Talnagögn | Numerical Data'!$1:$1048576,_xlfn.XMATCH($A10,'Talnagögn | Numerical Data'!$B:$B),_xlfn.XMATCH($B$1,'Talnagögn | Numerical Data'!$1:$1))</f>
        <v>-133.90036890007912</v>
      </c>
      <c r="AM10" s="292" cm="1">
        <f t="array" ref="AM10">INDEX('Talnagögn | Numerical Data'!$1:$1048576,_xlfn.XMATCH($B10,'Talnagögn | Numerical Data'!$C:$C),_xlfn.XMATCH($B$5,'Talnagögn | Numerical Data'!$1:$1))/INDEX('Talnagögn | Numerical Data'!$1:$1048576,_xlfn.XMATCH($A10,'Talnagögn | Numerical Data'!$B:$B),_xlfn.XMATCH($B$1,'Talnagögn | Numerical Data'!$1:$1))-1</f>
        <v>-0.18551645994810784</v>
      </c>
      <c r="AN10" s="5"/>
      <c r="AO10" s="5"/>
      <c r="AP10" s="5"/>
      <c r="AQ10" s="5"/>
      <c r="AR10" s="5"/>
      <c r="AS10" s="5"/>
    </row>
    <row r="11" spans="1:45" ht="21" customHeight="1" x14ac:dyDescent="0.4">
      <c r="A11" s="2" t="s">
        <v>41</v>
      </c>
      <c r="B11" s="2" t="s">
        <v>224</v>
      </c>
      <c r="C11" s="2" t="s">
        <v>231</v>
      </c>
      <c r="D11" s="131" t="s">
        <v>44</v>
      </c>
      <c r="E11" s="375" t="str">
        <f>'Talnagögn | Numerical Data'!$E$9</f>
        <v>Landnotkun</v>
      </c>
      <c r="F11" s="290" cm="1">
        <f t="array" ref="F11">INDEX('Talnagögn | Numerical Data'!$1:$1048576,_xlfn.XMATCH($A11,'Talnagögn | Numerical Data'!$B:$B),_xlfn.XMATCH($A$1,'Talnagögn | Numerical Data'!$1:$1))</f>
        <v>6080.3410384327608</v>
      </c>
      <c r="G11" s="371">
        <f>$F11/$F$13</f>
        <v>0.57525841262831323</v>
      </c>
      <c r="H11" s="290" cm="1">
        <f t="array" ref="H11">INDEX('Talnagögn | Numerical Data'!$1:$1048576,_xlfn.XMATCH($A11,'Talnagögn | Numerical Data'!$B:$B),_xlfn.XMATCH($A$1,'Talnagögn | Numerical Data'!$1:$1))-INDEX('Talnagögn | Numerical Data'!$1:$1048576,_xlfn.XMATCH($A11,'Talnagögn | Numerical Data'!$B:$B),_xlfn.XMATCH($B$3,'Talnagögn | Numerical Data'!$1:$1))</f>
        <v>-135.57528168190584</v>
      </c>
      <c r="I11" s="372" cm="1">
        <f t="array" ref="I11">INDEX('Talnagögn | Numerical Data'!$1:$1048576,_xlfn.XMATCH($A11,'Talnagögn | Numerical Data'!$B:$B),_xlfn.XMATCH($A$1,'Talnagögn | Numerical Data'!$1:$1))/INDEX('Talnagögn | Numerical Data'!$1:$1048576,_xlfn.XMATCH($A11,'Talnagögn | Numerical Data'!$B:$B),_xlfn.XMATCH($B$3,'Talnagögn | Numerical Data'!$1:$1))-1</f>
        <v>-2.1810988871131531E-2</v>
      </c>
      <c r="J11" s="290" cm="1">
        <f t="array" ref="J11">INDEX('Talnagögn | Numerical Data'!$1:$1048576,_xlfn.XMATCH($A11,'Talnagögn | Numerical Data'!$B:$B),_xlfn.XMATCH($A$1,'Talnagögn | Numerical Data'!$1:$1))-INDEX('Talnagögn | Numerical Data'!$1:$1048576,_xlfn.XMATCH($A11,'Talnagögn | Numerical Data'!$B:$B),_xlfn.XMATCH($B$2,'Talnagögn | Numerical Data'!$1:$1))</f>
        <v>-568.72412297566552</v>
      </c>
      <c r="K11" s="372" cm="1">
        <f t="array" ref="K11">INDEX('Talnagögn | Numerical Data'!$1:$1048576,_xlfn.XMATCH($A11,'Talnagögn | Numerical Data'!$B:$B),_xlfn.XMATCH($A$1,'Talnagögn | Numerical Data'!$1:$1))/INDEX('Talnagögn | Numerical Data'!$1:$1048576,_xlfn.XMATCH($A11,'Talnagögn | Numerical Data'!$B:$B),_xlfn.XMATCH($B$2,'Talnagögn | Numerical Data'!$1:$1))-1</f>
        <v>-8.5534448703642463E-2</v>
      </c>
      <c r="L11" s="290" cm="1">
        <f t="array" ref="L11">INDEX('Talnagögn | Numerical Data'!$1:$1048576,_xlfn.XMATCH($A11,'Talnagögn | Numerical Data'!$B:$B),_xlfn.XMATCH($A$1,'Talnagögn | Numerical Data'!$1:$1))-INDEX('Talnagögn | Numerical Data'!$1:$1048576,_xlfn.XMATCH($A11,'Talnagögn | Numerical Data'!$B:$B),_xlfn.XMATCH($B$1,'Talnagögn | Numerical Data'!$1:$1))</f>
        <v>-606.11327517406517</v>
      </c>
      <c r="M11" s="293" cm="1">
        <f t="array" ref="M11">INDEX('Talnagögn | Numerical Data'!$1:$1048576,_xlfn.XMATCH($A11,'Talnagögn | Numerical Data'!$B:$B),_xlfn.XMATCH($A$1,'Talnagögn | Numerical Data'!$1:$1))/INDEX('Talnagögn | Numerical Data'!$1:$1048576,_xlfn.XMATCH($A11,'Talnagögn | Numerical Data'!$B:$B),_xlfn.XMATCH($B$1,'Talnagögn | Numerical Data'!$1:$1))-1</f>
        <v>-9.0647934876431413E-2</v>
      </c>
      <c r="O11" s="375" t="str">
        <f>'Talnagögn | Numerical Data'!$E$9</f>
        <v>Landnotkun</v>
      </c>
      <c r="P11" s="290" cm="1">
        <f t="array" ref="P11">INDEX('Talnagögn | Numerical Data'!$1:$1048576,_xlfn.XMATCH($B11,'Talnagögn | Numerical Data'!$C:$C),_xlfn.XMATCH($B$4,'Talnagögn | Numerical Data'!$1:$1))-INDEX('Talnagögn | Numerical Data'!$1:$1048576,_xlfn.XMATCH($A11,'Talnagögn | Numerical Data'!$B:$B),_xlfn.XMATCH($B$2,'Talnagögn | Numerical Data'!$1:$1))</f>
        <v>-1129.7228351973372</v>
      </c>
      <c r="Q11" s="371" cm="1">
        <f t="array" ref="Q11">INDEX('Talnagögn | Numerical Data'!$1:$1048576,_xlfn.XMATCH($B11,'Talnagögn | Numerical Data'!$C:$C),_xlfn.XMATCH($B$4,'Talnagögn | Numerical Data'!$1:$1))/INDEX('Talnagögn | Numerical Data'!$1:$1048576,_xlfn.XMATCH($A11,'Talnagögn | Numerical Data'!$B:$B),_xlfn.XMATCH($B$2,'Talnagögn | Numerical Data'!$1:$1))-1</f>
        <v>-0.16990701817066201</v>
      </c>
      <c r="R11" s="290" cm="1">
        <f t="array" ref="R11">INDEX('Talnagögn | Numerical Data'!$1:$1048576,_xlfn.XMATCH($B11,'Talnagögn | Numerical Data'!$C:$C),_xlfn.XMATCH($B$5,'Talnagögn | Numerical Data'!$1:$1))-INDEX('Talnagögn | Numerical Data'!$1:$1048576,_xlfn.XMATCH($A11,'Talnagögn | Numerical Data'!$B:$B),_xlfn.XMATCH($B$1,'Talnagögn | Numerical Data'!$1:$1))</f>
        <v>-2902.0594394253853</v>
      </c>
      <c r="S11" s="292" cm="1">
        <f t="array" ref="S11">INDEX('Talnagögn | Numerical Data'!$1:$1048576,_xlfn.XMATCH($B11,'Talnagögn | Numerical Data'!$C:$C),_xlfn.XMATCH($B$5,'Talnagögn | Numerical Data'!$1:$1))/INDEX('Talnagögn | Numerical Data'!$1:$1048576,_xlfn.XMATCH($A11,'Talnagögn | Numerical Data'!$B:$B),_xlfn.XMATCH($B$1,'Talnagögn | Numerical Data'!$1:$1))-1</f>
        <v>-0.4340206787205203</v>
      </c>
      <c r="V11" s="408"/>
      <c r="W11" s="137"/>
      <c r="Y11" s="375" t="str">
        <f>'Talnagögn | Numerical Data'!$G$9</f>
        <v>Land use, Land-Use Change and Forestry (LULUCF)</v>
      </c>
      <c r="Z11" s="290" cm="1">
        <f t="array" ref="Z11">INDEX('Talnagögn | Numerical Data'!$1:$1048576,_xlfn.XMATCH($A11,'Talnagögn | Numerical Data'!$B:$B),_xlfn.XMATCH($A$1,'Talnagögn | Numerical Data'!$1:$1))</f>
        <v>6080.3410384327608</v>
      </c>
      <c r="AA11" s="371">
        <f>$F11/$F$13</f>
        <v>0.57525841262831323</v>
      </c>
      <c r="AB11" s="290" cm="1">
        <f t="array" ref="AB11">INDEX('Talnagögn | Numerical Data'!$1:$1048576,_xlfn.XMATCH($A11,'Talnagögn | Numerical Data'!$B:$B),_xlfn.XMATCH($A$1,'Talnagögn | Numerical Data'!$1:$1))-INDEX('Talnagögn | Numerical Data'!$1:$1048576,_xlfn.XMATCH($A11,'Talnagögn | Numerical Data'!$B:$B),_xlfn.XMATCH($B$3,'Talnagögn | Numerical Data'!$1:$1))</f>
        <v>-135.57528168190584</v>
      </c>
      <c r="AC11" s="372" cm="1">
        <f t="array" ref="AC11">INDEX('Talnagögn | Numerical Data'!$1:$1048576,_xlfn.XMATCH($A11,'Talnagögn | Numerical Data'!$B:$B),_xlfn.XMATCH($A$1,'Talnagögn | Numerical Data'!$1:$1))/INDEX('Talnagögn | Numerical Data'!$1:$1048576,_xlfn.XMATCH($A11,'Talnagögn | Numerical Data'!$B:$B),_xlfn.XMATCH($B$3,'Talnagögn | Numerical Data'!$1:$1))-1</f>
        <v>-2.1810988871131531E-2</v>
      </c>
      <c r="AD11" s="290" cm="1">
        <f t="array" ref="AD11">INDEX('Talnagögn | Numerical Data'!$1:$1048576,_xlfn.XMATCH($A11,'Talnagögn | Numerical Data'!$B:$B),_xlfn.XMATCH($A$1,'Talnagögn | Numerical Data'!$1:$1))-INDEX('Talnagögn | Numerical Data'!$1:$1048576,_xlfn.XMATCH($A11,'Talnagögn | Numerical Data'!$B:$B),_xlfn.XMATCH($B$2,'Talnagögn | Numerical Data'!$1:$1))</f>
        <v>-568.72412297566552</v>
      </c>
      <c r="AE11" s="372" cm="1">
        <f t="array" ref="AE11">INDEX('Talnagögn | Numerical Data'!$1:$1048576,_xlfn.XMATCH($A11,'Talnagögn | Numerical Data'!$B:$B),_xlfn.XMATCH($A$1,'Talnagögn | Numerical Data'!$1:$1))/INDEX('Talnagögn | Numerical Data'!$1:$1048576,_xlfn.XMATCH($A11,'Talnagögn | Numerical Data'!$B:$B),_xlfn.XMATCH($B$2,'Talnagögn | Numerical Data'!$1:$1))-1</f>
        <v>-8.5534448703642463E-2</v>
      </c>
      <c r="AF11" s="290" cm="1">
        <f t="array" ref="AF11">INDEX('Talnagögn | Numerical Data'!$1:$1048576,_xlfn.XMATCH($A11,'Talnagögn | Numerical Data'!$B:$B),_xlfn.XMATCH($A$1,'Talnagögn | Numerical Data'!$1:$1))-INDEX('Talnagögn | Numerical Data'!$1:$1048576,_xlfn.XMATCH($A11,'Talnagögn | Numerical Data'!$B:$B),_xlfn.XMATCH($B$1,'Talnagögn | Numerical Data'!$1:$1))</f>
        <v>-606.11327517406517</v>
      </c>
      <c r="AG11" s="293" cm="1">
        <f t="array" ref="AG11">INDEX('Talnagögn | Numerical Data'!$1:$1048576,_xlfn.XMATCH($A11,'Talnagögn | Numerical Data'!$B:$B),_xlfn.XMATCH($A$1,'Talnagögn | Numerical Data'!$1:$1))/INDEX('Talnagögn | Numerical Data'!$1:$1048576,_xlfn.XMATCH($A11,'Talnagögn | Numerical Data'!$B:$B),_xlfn.XMATCH($B$1,'Talnagögn | Numerical Data'!$1:$1))-1</f>
        <v>-9.0647934876431413E-2</v>
      </c>
      <c r="AH11" s="5"/>
      <c r="AI11" s="375" t="str">
        <f>'Talnagögn | Numerical Data'!$G$9</f>
        <v>Land use, Land-Use Change and Forestry (LULUCF)</v>
      </c>
      <c r="AJ11" s="290" cm="1">
        <f t="array" ref="AJ11">INDEX('Talnagögn | Numerical Data'!$1:$1048576,_xlfn.XMATCH($B11,'Talnagögn | Numerical Data'!$C:$C),_xlfn.XMATCH($B$4,'Talnagögn | Numerical Data'!$1:$1))-INDEX('Talnagögn | Numerical Data'!$1:$1048576,_xlfn.XMATCH($A11,'Talnagögn | Numerical Data'!$B:$B),_xlfn.XMATCH($B$2,'Talnagögn | Numerical Data'!$1:$1))</f>
        <v>-1129.7228351973372</v>
      </c>
      <c r="AK11" s="371" cm="1">
        <f t="array" ref="AK11">INDEX('Talnagögn | Numerical Data'!$1:$1048576,_xlfn.XMATCH($B11,'Talnagögn | Numerical Data'!$C:$C),_xlfn.XMATCH($B$4,'Talnagögn | Numerical Data'!$1:$1))/INDEX('Talnagögn | Numerical Data'!$1:$1048576,_xlfn.XMATCH($A11,'Talnagögn | Numerical Data'!$B:$B),_xlfn.XMATCH($B$2,'Talnagögn | Numerical Data'!$1:$1))-1</f>
        <v>-0.16990701817066201</v>
      </c>
      <c r="AL11" s="290" cm="1">
        <f t="array" ref="AL11">INDEX('Talnagögn | Numerical Data'!$1:$1048576,_xlfn.XMATCH($B11,'Talnagögn | Numerical Data'!$C:$C),_xlfn.XMATCH($B$5,'Talnagögn | Numerical Data'!$1:$1))-INDEX('Talnagögn | Numerical Data'!$1:$1048576,_xlfn.XMATCH($A11,'Talnagögn | Numerical Data'!$B:$B),_xlfn.XMATCH($B$1,'Talnagögn | Numerical Data'!$1:$1))</f>
        <v>-2902.0594394253853</v>
      </c>
      <c r="AM11" s="292" cm="1">
        <f t="array" ref="AM11">INDEX('Talnagögn | Numerical Data'!$1:$1048576,_xlfn.XMATCH($B11,'Talnagögn | Numerical Data'!$C:$C),_xlfn.XMATCH($B$5,'Talnagögn | Numerical Data'!$1:$1))/INDEX('Talnagögn | Numerical Data'!$1:$1048576,_xlfn.XMATCH($A11,'Talnagögn | Numerical Data'!$B:$B),_xlfn.XMATCH($B$1,'Talnagögn | Numerical Data'!$1:$1))-1</f>
        <v>-0.4340206787205203</v>
      </c>
      <c r="AN11" s="5"/>
      <c r="AO11" s="5"/>
      <c r="AP11" s="5"/>
      <c r="AQ11" s="5"/>
      <c r="AR11" s="5"/>
      <c r="AS11" s="5"/>
    </row>
    <row r="12" spans="1:45" ht="21" customHeight="1" x14ac:dyDescent="0.4">
      <c r="A12" s="2" t="s">
        <v>42</v>
      </c>
      <c r="B12" s="2" t="s">
        <v>225</v>
      </c>
      <c r="C12" s="2" t="s">
        <v>232</v>
      </c>
      <c r="D12" s="131" t="s">
        <v>44</v>
      </c>
      <c r="E12" s="376" t="str">
        <f>'Talnagögn | Numerical Data'!$E$10</f>
        <v>Úrgangur</v>
      </c>
      <c r="F12" s="377" cm="1">
        <f t="array" ref="F12">INDEX('Talnagögn | Numerical Data'!$1:$1048576,_xlfn.XMATCH($A12,'Talnagögn | Numerical Data'!$B:$B),_xlfn.XMATCH($A$1,'Talnagögn | Numerical Data'!$1:$1))</f>
        <v>222.59190359498734</v>
      </c>
      <c r="G12" s="378">
        <f>$F12/$F$13</f>
        <v>2.1059322876233261E-2</v>
      </c>
      <c r="H12" s="377" cm="1">
        <f t="array" ref="H12">INDEX('Talnagögn | Numerical Data'!$1:$1048576,_xlfn.XMATCH($A12,'Talnagögn | Numerical Data'!$B:$B),_xlfn.XMATCH($A$1,'Talnagögn | Numerical Data'!$1:$1))-INDEX('Talnagögn | Numerical Data'!$1:$1048576,_xlfn.XMATCH($A12,'Talnagögn | Numerical Data'!$B:$B),_xlfn.XMATCH($B$3,'Talnagögn | Numerical Data'!$1:$1))</f>
        <v>-16.793902732083069</v>
      </c>
      <c r="I12" s="378" cm="1">
        <f t="array" ref="I12">INDEX('Talnagögn | Numerical Data'!$1:$1048576,_xlfn.XMATCH($A12,'Talnagögn | Numerical Data'!$B:$B),_xlfn.XMATCH($A$1,'Talnagögn | Numerical Data'!$1:$1))/INDEX('Talnagögn | Numerical Data'!$1:$1048576,_xlfn.XMATCH($A12,'Talnagögn | Numerical Data'!$B:$B),_xlfn.XMATCH($B$3,'Talnagögn | Numerical Data'!$1:$1))-1</f>
        <v>-7.0154128975958296E-2</v>
      </c>
      <c r="J12" s="377" cm="1">
        <f t="array" ref="J12">INDEX('Talnagögn | Numerical Data'!$1:$1048576,_xlfn.XMATCH($A12,'Talnagögn | Numerical Data'!$B:$B),_xlfn.XMATCH($A$1,'Talnagögn | Numerical Data'!$1:$1))-INDEX('Talnagögn | Numerical Data'!$1:$1048576,_xlfn.XMATCH($A12,'Talnagögn | Numerical Data'!$B:$B),_xlfn.XMATCH($B$2,'Talnagögn | Numerical Data'!$1:$1))</f>
        <v>-91.372948986054951</v>
      </c>
      <c r="K12" s="379" cm="1">
        <f t="array" ref="K12">INDEX('Talnagögn | Numerical Data'!$1:$1048576,_xlfn.XMATCH($A12,'Talnagögn | Numerical Data'!$B:$B),_xlfn.XMATCH($A$1,'Talnagögn | Numerical Data'!$1:$1))/INDEX('Talnagögn | Numerical Data'!$1:$1048576,_xlfn.XMATCH($A12,'Talnagögn | Numerical Data'!$B:$B),_xlfn.XMATCH($B$2,'Talnagögn | Numerical Data'!$1:$1))-1</f>
        <v>-0.29102922902005179</v>
      </c>
      <c r="L12" s="617" cm="1">
        <f t="array" ref="L12">INDEX('Talnagögn | Numerical Data'!$1:$1048576,_xlfn.XMATCH($A12,'Talnagögn | Numerical Data'!$B:$B),_xlfn.XMATCH($A$1,'Talnagögn | Numerical Data'!$1:$1))-INDEX('Talnagögn | Numerical Data'!$1:$1048576,_xlfn.XMATCH($A12,'Talnagögn | Numerical Data'!$B:$B),_xlfn.XMATCH($B$1,'Talnagögn | Numerical Data'!$1:$1))</f>
        <v>8.0408555542836382</v>
      </c>
      <c r="M12" s="909" cm="1">
        <f t="array" ref="M12">INDEX('Talnagögn | Numerical Data'!$1:$1048576,_xlfn.XMATCH($A12,'Talnagögn | Numerical Data'!$B:$B),_xlfn.XMATCH($A$1,'Talnagögn | Numerical Data'!$1:$1))/INDEX('Talnagögn | Numerical Data'!$1:$1048576,_xlfn.XMATCH($A12,'Talnagögn | Numerical Data'!$B:$B),_xlfn.XMATCH($B$1,'Talnagögn | Numerical Data'!$1:$1))-1</f>
        <v>3.7477586931936813E-2</v>
      </c>
      <c r="O12" s="376" t="str">
        <f>'Talnagögn | Numerical Data'!$E$10</f>
        <v>Úrgangur</v>
      </c>
      <c r="P12" s="377" cm="1">
        <f t="array" ref="P12">INDEX('Talnagögn | Numerical Data'!$1:$1048576,_xlfn.XMATCH($B12,'Talnagögn | Numerical Data'!$C:$C),_xlfn.XMATCH($B$4,'Talnagögn | Numerical Data'!$1:$1))-INDEX('Talnagögn | Numerical Data'!$1:$1048576,_xlfn.XMATCH($A12,'Talnagögn | Numerical Data'!$B:$B),_xlfn.XMATCH($B$2,'Talnagögn | Numerical Data'!$1:$1))</f>
        <v>-155.176977797196</v>
      </c>
      <c r="Q12" s="379" cm="1">
        <f t="array" ref="Q12">INDEX('Talnagögn | Numerical Data'!$1:$1048576,_xlfn.XMATCH($B12,'Talnagögn | Numerical Data'!$C:$C),_xlfn.XMATCH($B$4,'Talnagögn | Numerical Data'!$1:$1))/INDEX('Talnagögn | Numerical Data'!$1:$1048576,_xlfn.XMATCH($A12,'Talnagögn | Numerical Data'!$B:$B),_xlfn.XMATCH($B$2,'Talnagögn | Numerical Data'!$1:$1))-1</f>
        <v>-0.49424952035718994</v>
      </c>
      <c r="R12" s="377" cm="1">
        <f t="array" ref="R12">INDEX('Talnagögn | Numerical Data'!$1:$1048576,_xlfn.XMATCH($B12,'Talnagögn | Numerical Data'!$C:$C),_xlfn.XMATCH($B$5,'Talnagögn | Numerical Data'!$1:$1))-INDEX('Talnagögn | Numerical Data'!$1:$1048576,_xlfn.XMATCH($A12,'Talnagögn | Numerical Data'!$B:$B),_xlfn.XMATCH($B$1,'Talnagögn | Numerical Data'!$1:$1))</f>
        <v>-138.78264021664998</v>
      </c>
      <c r="S12" s="380" cm="1">
        <f t="array" ref="S12">INDEX('Talnagögn | Numerical Data'!$1:$1048576,_xlfn.XMATCH($B12,'Talnagögn | Numerical Data'!$C:$C),_xlfn.XMATCH($B$5,'Talnagögn | Numerical Data'!$1:$1))/INDEX('Talnagögn | Numerical Data'!$1:$1048576,_xlfn.XMATCH($A12,'Talnagögn | Numerical Data'!$B:$B),_xlfn.XMATCH($B$1,'Talnagögn | Numerical Data'!$1:$1))-1</f>
        <v>-0.64685137399245307</v>
      </c>
      <c r="V12" s="408"/>
      <c r="W12" s="137"/>
      <c r="Y12" s="376" t="str">
        <f>'Talnagögn | Numerical Data'!$G$10</f>
        <v>Waste</v>
      </c>
      <c r="Z12" s="377" cm="1">
        <f t="array" ref="Z12">INDEX('Talnagögn | Numerical Data'!$1:$1048576,_xlfn.XMATCH($A12,'Talnagögn | Numerical Data'!$B:$B),_xlfn.XMATCH($A$1,'Talnagögn | Numerical Data'!$1:$1))</f>
        <v>222.59190359498734</v>
      </c>
      <c r="AA12" s="378">
        <f>$F12/$F$13</f>
        <v>2.1059322876233261E-2</v>
      </c>
      <c r="AB12" s="377" cm="1">
        <f t="array" ref="AB12">INDEX('Talnagögn | Numerical Data'!$1:$1048576,_xlfn.XMATCH($A12,'Talnagögn | Numerical Data'!$B:$B),_xlfn.XMATCH($A$1,'Talnagögn | Numerical Data'!$1:$1))-INDEX('Talnagögn | Numerical Data'!$1:$1048576,_xlfn.XMATCH($A12,'Talnagögn | Numerical Data'!$B:$B),_xlfn.XMATCH($B$3,'Talnagögn | Numerical Data'!$1:$1))</f>
        <v>-16.793902732083069</v>
      </c>
      <c r="AC12" s="378" cm="1">
        <f t="array" ref="AC12">INDEX('Talnagögn | Numerical Data'!$1:$1048576,_xlfn.XMATCH($A12,'Talnagögn | Numerical Data'!$B:$B),_xlfn.XMATCH($A$1,'Talnagögn | Numerical Data'!$1:$1))/INDEX('Talnagögn | Numerical Data'!$1:$1048576,_xlfn.XMATCH($A12,'Talnagögn | Numerical Data'!$B:$B),_xlfn.XMATCH($B$3,'Talnagögn | Numerical Data'!$1:$1))-1</f>
        <v>-7.0154128975958296E-2</v>
      </c>
      <c r="AD12" s="377" cm="1">
        <f t="array" ref="AD12">INDEX('Talnagögn | Numerical Data'!$1:$1048576,_xlfn.XMATCH($A12,'Talnagögn | Numerical Data'!$B:$B),_xlfn.XMATCH($A$1,'Talnagögn | Numerical Data'!$1:$1))-INDEX('Talnagögn | Numerical Data'!$1:$1048576,_xlfn.XMATCH($A12,'Talnagögn | Numerical Data'!$B:$B),_xlfn.XMATCH($B$2,'Talnagögn | Numerical Data'!$1:$1))</f>
        <v>-91.372948986054951</v>
      </c>
      <c r="AE12" s="379" cm="1">
        <f t="array" ref="AE12">INDEX('Talnagögn | Numerical Data'!$1:$1048576,_xlfn.XMATCH($A12,'Talnagögn | Numerical Data'!$B:$B),_xlfn.XMATCH($A$1,'Talnagögn | Numerical Data'!$1:$1))/INDEX('Talnagögn | Numerical Data'!$1:$1048576,_xlfn.XMATCH($A12,'Talnagögn | Numerical Data'!$B:$B),_xlfn.XMATCH($B$2,'Talnagögn | Numerical Data'!$1:$1))-1</f>
        <v>-0.29102922902005179</v>
      </c>
      <c r="AF12" s="617" cm="1">
        <f t="array" ref="AF12">INDEX('Talnagögn | Numerical Data'!$1:$1048576,_xlfn.XMATCH($A12,'Talnagögn | Numerical Data'!$B:$B),_xlfn.XMATCH($A$1,'Talnagögn | Numerical Data'!$1:$1))-INDEX('Talnagögn | Numerical Data'!$1:$1048576,_xlfn.XMATCH($A12,'Talnagögn | Numerical Data'!$B:$B),_xlfn.XMATCH($B$1,'Talnagögn | Numerical Data'!$1:$1))</f>
        <v>8.0408555542836382</v>
      </c>
      <c r="AG12" s="909" cm="1">
        <f t="array" ref="AG12">INDEX('Talnagögn | Numerical Data'!$1:$1048576,_xlfn.XMATCH($A12,'Talnagögn | Numerical Data'!$B:$B),_xlfn.XMATCH($A$1,'Talnagögn | Numerical Data'!$1:$1))/INDEX('Talnagögn | Numerical Data'!$1:$1048576,_xlfn.XMATCH($A12,'Talnagögn | Numerical Data'!$B:$B),_xlfn.XMATCH($B$1,'Talnagögn | Numerical Data'!$1:$1))-1</f>
        <v>3.7477586931936813E-2</v>
      </c>
      <c r="AH12" s="5"/>
      <c r="AI12" s="376" t="str">
        <f>'Talnagögn | Numerical Data'!$G$10</f>
        <v>Waste</v>
      </c>
      <c r="AJ12" s="377" cm="1">
        <f t="array" ref="AJ12">INDEX('Talnagögn | Numerical Data'!$1:$1048576,_xlfn.XMATCH($B12,'Talnagögn | Numerical Data'!$C:$C),_xlfn.XMATCH($B$4,'Talnagögn | Numerical Data'!$1:$1))-INDEX('Talnagögn | Numerical Data'!$1:$1048576,_xlfn.XMATCH($A12,'Talnagögn | Numerical Data'!$B:$B),_xlfn.XMATCH($B$2,'Talnagögn | Numerical Data'!$1:$1))</f>
        <v>-155.176977797196</v>
      </c>
      <c r="AK12" s="379" cm="1">
        <f t="array" ref="AK12">INDEX('Talnagögn | Numerical Data'!$1:$1048576,_xlfn.XMATCH($B12,'Talnagögn | Numerical Data'!$C:$C),_xlfn.XMATCH($B$4,'Talnagögn | Numerical Data'!$1:$1))/INDEX('Talnagögn | Numerical Data'!$1:$1048576,_xlfn.XMATCH($A12,'Talnagögn | Numerical Data'!$B:$B),_xlfn.XMATCH($B$2,'Talnagögn | Numerical Data'!$1:$1))-1</f>
        <v>-0.49424952035718994</v>
      </c>
      <c r="AL12" s="377" cm="1">
        <f t="array" ref="AL12">INDEX('Talnagögn | Numerical Data'!$1:$1048576,_xlfn.XMATCH($B12,'Talnagögn | Numerical Data'!$C:$C),_xlfn.XMATCH($B$5,'Talnagögn | Numerical Data'!$1:$1))-INDEX('Talnagögn | Numerical Data'!$1:$1048576,_xlfn.XMATCH($A12,'Talnagögn | Numerical Data'!$B:$B),_xlfn.XMATCH($B$1,'Talnagögn | Numerical Data'!$1:$1))</f>
        <v>-138.78264021664998</v>
      </c>
      <c r="AM12" s="380" cm="1">
        <f t="array" ref="AM12">INDEX('Talnagögn | Numerical Data'!$1:$1048576,_xlfn.XMATCH($B12,'Talnagögn | Numerical Data'!$C:$C),_xlfn.XMATCH($B$5,'Talnagögn | Numerical Data'!$1:$1))/INDEX('Talnagögn | Numerical Data'!$1:$1048576,_xlfn.XMATCH($A12,'Talnagögn | Numerical Data'!$B:$B),_xlfn.XMATCH($B$1,'Talnagögn | Numerical Data'!$1:$1))-1</f>
        <v>-0.64685137399245307</v>
      </c>
      <c r="AN12" s="5"/>
      <c r="AO12" s="5"/>
      <c r="AP12" s="5"/>
      <c r="AQ12" s="5"/>
      <c r="AR12" s="5"/>
      <c r="AS12" s="5"/>
    </row>
    <row r="13" spans="1:45" ht="33.6" x14ac:dyDescent="0.4">
      <c r="A13" s="2" t="s">
        <v>43</v>
      </c>
      <c r="B13" s="2" t="s">
        <v>226</v>
      </c>
      <c r="C13" s="2" t="s">
        <v>233</v>
      </c>
      <c r="D13" s="131" t="s">
        <v>44</v>
      </c>
      <c r="E13" s="381" t="s">
        <v>179</v>
      </c>
      <c r="F13" s="382" cm="1">
        <f t="array" ref="F13">INDEX('Talnagögn | Numerical Data'!$1:$1048576,_xlfn.XMATCH($A13,'Talnagögn | Numerical Data'!$B:$B),_xlfn.XMATCH($A$1,'Talnagögn | Numerical Data'!$1:$1))</f>
        <v>10569.755965240267</v>
      </c>
      <c r="G13" s="383">
        <f>SUM($G$8:$G$12)</f>
        <v>0.99999999999999978</v>
      </c>
      <c r="H13" s="382" cm="1">
        <f t="array" ref="H13">INDEX('Talnagögn | Numerical Data'!$1:$1048576,_xlfn.XMATCH($A13,'Talnagögn | Numerical Data'!$B:$B),_xlfn.XMATCH($A$1,'Talnagögn | Numerical Data'!$1:$1))-INDEX('Talnagögn | Numerical Data'!$1:$1048576,_xlfn.XMATCH($A13,'Talnagögn | Numerical Data'!$B:$B),_xlfn.XMATCH($B$3,'Talnagögn | Numerical Data'!$1:$1))</f>
        <v>-428.25483946628083</v>
      </c>
      <c r="I13" s="384" cm="1">
        <f t="array" ref="I13">INDEX('Talnagögn | Numerical Data'!$1:$1048576,_xlfn.XMATCH($A13,'Talnagögn | Numerical Data'!$B:$B),_xlfn.XMATCH($A$1,'Talnagögn | Numerical Data'!$1:$1))/INDEX('Talnagögn | Numerical Data'!$1:$1048576,_xlfn.XMATCH($A13,'Talnagögn | Numerical Data'!$B:$B),_xlfn.XMATCH($B$3,'Talnagögn | Numerical Data'!$1:$1))-1</f>
        <v>-3.8939299758008139E-2</v>
      </c>
      <c r="J13" s="382" cm="1">
        <f t="array" ref="J13">INDEX('Talnagögn | Numerical Data'!$1:$1048576,_xlfn.XMATCH($A13,'Talnagögn | Numerical Data'!$B:$B),_xlfn.XMATCH($A$1,'Talnagögn | Numerical Data'!$1:$1))-INDEX('Talnagögn | Numerical Data'!$1:$1048576,_xlfn.XMATCH($A13,'Talnagögn | Numerical Data'!$B:$B),_xlfn.XMATCH($B$2,'Talnagögn | Numerical Data'!$1:$1))</f>
        <v>-186.79585255701568</v>
      </c>
      <c r="K13" s="384" cm="1">
        <f t="array" ref="K13">INDEX('Talnagögn | Numerical Data'!$1:$1048576,_xlfn.XMATCH($A13,'Talnagögn | Numerical Data'!$B:$B),_xlfn.XMATCH($A$1,'Talnagögn | Numerical Data'!$1:$1))/INDEX('Talnagögn | Numerical Data'!$1:$1048576,_xlfn.XMATCH($A13,'Talnagögn | Numerical Data'!$B:$B),_xlfn.XMATCH($B$2,'Talnagögn | Numerical Data'!$1:$1))-1</f>
        <v>-1.736577443414089E-2</v>
      </c>
      <c r="L13" s="382" cm="1">
        <f t="array" ref="L13">INDEX('Talnagögn | Numerical Data'!$1:$1048576,_xlfn.XMATCH($A13,'Talnagögn | Numerical Data'!$B:$B),_xlfn.XMATCH($A$1,'Talnagögn | Numerical Data'!$1:$1))-INDEX('Talnagögn | Numerical Data'!$1:$1048576,_xlfn.XMATCH($A13,'Talnagögn | Numerical Data'!$B:$B),_xlfn.XMATCH($B$1,'Talnagögn | Numerical Data'!$1:$1))</f>
        <v>204.23834766454092</v>
      </c>
      <c r="M13" s="385" cm="1">
        <f t="array" ref="M13">INDEX('Talnagögn | Numerical Data'!$1:$1048576,_xlfn.XMATCH($A13,'Talnagögn | Numerical Data'!$B:$B),_xlfn.XMATCH($A$1,'Talnagögn | Numerical Data'!$1:$1))/INDEX('Talnagögn | Numerical Data'!$1:$1048576,_xlfn.XMATCH($A13,'Talnagögn | Numerical Data'!$B:$B),_xlfn.XMATCH($B$1,'Talnagögn | Numerical Data'!$1:$1))-1</f>
        <v>1.9703632293117224E-2</v>
      </c>
      <c r="O13" s="381" t="s">
        <v>179</v>
      </c>
      <c r="P13" s="382" cm="1">
        <f t="array" ref="P13">INDEX('Talnagögn | Numerical Data'!$1:$1048576,_xlfn.XMATCH($B13,'Talnagögn | Numerical Data'!$C:$C),_xlfn.XMATCH($B$4,'Talnagögn | Numerical Data'!$1:$1))-INDEX('Talnagögn | Numerical Data'!$1:$1048576,_xlfn.XMATCH($A13,'Talnagögn | Numerical Data'!$B:$B),_xlfn.XMATCH($B$2,'Talnagögn | Numerical Data'!$1:$1))</f>
        <v>-842.44804181316431</v>
      </c>
      <c r="Q13" s="618" cm="1">
        <f t="array" ref="Q13">INDEX('Talnagögn | Numerical Data'!$1:$1048576,_xlfn.XMATCH($B13,'Talnagögn | Numerical Data'!$C:$C),_xlfn.XMATCH($B$4,'Talnagögn | Numerical Data'!$1:$1))/INDEX('Talnagögn | Numerical Data'!$1:$1048576,_xlfn.XMATCH($A13,'Talnagögn | Numerical Data'!$B:$B),_xlfn.XMATCH($B$2,'Talnagögn | Numerical Data'!$1:$1))-1</f>
        <v>-7.8319526190473887E-2</v>
      </c>
      <c r="R13" s="382" cm="1">
        <f t="array" ref="R13">INDEX('Talnagögn | Numerical Data'!$1:$1048576,_xlfn.XMATCH($B13,'Talnagögn | Numerical Data'!$C:$C),_xlfn.XMATCH($B$5,'Talnagögn | Numerical Data'!$1:$1))-INDEX('Talnagögn | Numerical Data'!$1:$1048576,_xlfn.XMATCH($A13,'Talnagögn | Numerical Data'!$B:$B),_xlfn.XMATCH($B$1,'Talnagögn | Numerical Data'!$1:$1))</f>
        <v>-3520.1733418464619</v>
      </c>
      <c r="S13" s="388" cm="1">
        <f t="array" ref="S13">INDEX('Talnagögn | Numerical Data'!$1:$1048576,_xlfn.XMATCH($B13,'Talnagögn | Numerical Data'!$C:$C),_xlfn.XMATCH($B$5,'Talnagögn | Numerical Data'!$1:$1))/INDEX('Talnagögn | Numerical Data'!$1:$1048576,_xlfn.XMATCH($A13,'Talnagögn | Numerical Data'!$B:$B),_xlfn.XMATCH($B$1,'Talnagögn | Numerical Data'!$1:$1))-1</f>
        <v>-0.33960420229064792</v>
      </c>
      <c r="V13" s="162"/>
      <c r="W13" s="137"/>
      <c r="Y13" s="381" t="s">
        <v>153</v>
      </c>
      <c r="Z13" s="382" cm="1">
        <f t="array" ref="Z13">INDEX('Talnagögn | Numerical Data'!$1:$1048576,_xlfn.XMATCH($A13,'Talnagögn | Numerical Data'!$B:$B),_xlfn.XMATCH($A$1,'Talnagögn | Numerical Data'!$1:$1))</f>
        <v>10569.755965240267</v>
      </c>
      <c r="AA13" s="383">
        <f>SUM($G$8:$G$12)</f>
        <v>0.99999999999999978</v>
      </c>
      <c r="AB13" s="382" cm="1">
        <f t="array" ref="AB13">INDEX('Talnagögn | Numerical Data'!$1:$1048576,_xlfn.XMATCH($A13,'Talnagögn | Numerical Data'!$B:$B),_xlfn.XMATCH($A$1,'Talnagögn | Numerical Data'!$1:$1))-INDEX('Talnagögn | Numerical Data'!$1:$1048576,_xlfn.XMATCH($A13,'Talnagögn | Numerical Data'!$B:$B),_xlfn.XMATCH($B$3,'Talnagögn | Numerical Data'!$1:$1))</f>
        <v>-428.25483946628083</v>
      </c>
      <c r="AC13" s="384" cm="1">
        <f t="array" ref="AC13">INDEX('Talnagögn | Numerical Data'!$1:$1048576,_xlfn.XMATCH($A13,'Talnagögn | Numerical Data'!$B:$B),_xlfn.XMATCH($A$1,'Talnagögn | Numerical Data'!$1:$1))/INDEX('Talnagögn | Numerical Data'!$1:$1048576,_xlfn.XMATCH($A13,'Talnagögn | Numerical Data'!$B:$B),_xlfn.XMATCH($B$3,'Talnagögn | Numerical Data'!$1:$1))-1</f>
        <v>-3.8939299758008139E-2</v>
      </c>
      <c r="AD13" s="382" cm="1">
        <f t="array" ref="AD13">INDEX('Talnagögn | Numerical Data'!$1:$1048576,_xlfn.XMATCH($A13,'Talnagögn | Numerical Data'!$B:$B),_xlfn.XMATCH($A$1,'Talnagögn | Numerical Data'!$1:$1))-INDEX('Talnagögn | Numerical Data'!$1:$1048576,_xlfn.XMATCH($A13,'Talnagögn | Numerical Data'!$B:$B),_xlfn.XMATCH($B$2,'Talnagögn | Numerical Data'!$1:$1))</f>
        <v>-186.79585255701568</v>
      </c>
      <c r="AE13" s="384" cm="1">
        <f t="array" ref="AE13">INDEX('Talnagögn | Numerical Data'!$1:$1048576,_xlfn.XMATCH($A13,'Talnagögn | Numerical Data'!$B:$B),_xlfn.XMATCH($A$1,'Talnagögn | Numerical Data'!$1:$1))/INDEX('Talnagögn | Numerical Data'!$1:$1048576,_xlfn.XMATCH($A13,'Talnagögn | Numerical Data'!$B:$B),_xlfn.XMATCH($B$2,'Talnagögn | Numerical Data'!$1:$1))-1</f>
        <v>-1.736577443414089E-2</v>
      </c>
      <c r="AF13" s="382" cm="1">
        <f t="array" ref="AF13">INDEX('Talnagögn | Numerical Data'!$1:$1048576,_xlfn.XMATCH($A13,'Talnagögn | Numerical Data'!$B:$B),_xlfn.XMATCH($A$1,'Talnagögn | Numerical Data'!$1:$1))-INDEX('Talnagögn | Numerical Data'!$1:$1048576,_xlfn.XMATCH($A13,'Talnagögn | Numerical Data'!$B:$B),_xlfn.XMATCH($B$1,'Talnagögn | Numerical Data'!$1:$1))</f>
        <v>204.23834766454092</v>
      </c>
      <c r="AG13" s="385" cm="1">
        <f t="array" ref="AG13">INDEX('Talnagögn | Numerical Data'!$1:$1048576,_xlfn.XMATCH($A13,'Talnagögn | Numerical Data'!$B:$B),_xlfn.XMATCH($A$1,'Talnagögn | Numerical Data'!$1:$1))/INDEX('Talnagögn | Numerical Data'!$1:$1048576,_xlfn.XMATCH($A13,'Talnagögn | Numerical Data'!$B:$B),_xlfn.XMATCH($B$1,'Talnagögn | Numerical Data'!$1:$1))-1</f>
        <v>1.9703632293117224E-2</v>
      </c>
      <c r="AH13" s="5"/>
      <c r="AI13" s="381" t="s">
        <v>153</v>
      </c>
      <c r="AJ13" s="382" cm="1">
        <f t="array" ref="AJ13">INDEX('Talnagögn | Numerical Data'!$1:$1048576,_xlfn.XMATCH($B13,'Talnagögn | Numerical Data'!$C:$C),_xlfn.XMATCH($B$4,'Talnagögn | Numerical Data'!$1:$1))-INDEX('Talnagögn | Numerical Data'!$1:$1048576,_xlfn.XMATCH($A13,'Talnagögn | Numerical Data'!$B:$B),_xlfn.XMATCH($B$2,'Talnagögn | Numerical Data'!$1:$1))</f>
        <v>-842.44804181316431</v>
      </c>
      <c r="AK13" s="618" cm="1">
        <f t="array" ref="AK13">INDEX('Talnagögn | Numerical Data'!$1:$1048576,_xlfn.XMATCH($B13,'Talnagögn | Numerical Data'!$C:$C),_xlfn.XMATCH($B$4,'Talnagögn | Numerical Data'!$1:$1))/INDEX('Talnagögn | Numerical Data'!$1:$1048576,_xlfn.XMATCH($A13,'Talnagögn | Numerical Data'!$B:$B),_xlfn.XMATCH($B$2,'Talnagögn | Numerical Data'!$1:$1))-1</f>
        <v>-7.8319526190473887E-2</v>
      </c>
      <c r="AL13" s="382" cm="1">
        <f t="array" ref="AL13">INDEX('Talnagögn | Numerical Data'!$1:$1048576,_xlfn.XMATCH($B13,'Talnagögn | Numerical Data'!$C:$C),_xlfn.XMATCH($B$5,'Talnagögn | Numerical Data'!$1:$1))-INDEX('Talnagögn | Numerical Data'!$1:$1048576,_xlfn.XMATCH($A13,'Talnagögn | Numerical Data'!$B:$B),_xlfn.XMATCH($B$1,'Talnagögn | Numerical Data'!$1:$1))</f>
        <v>-3520.1733418464619</v>
      </c>
      <c r="AM13" s="388" cm="1">
        <f t="array" ref="AM13">INDEX('Talnagögn | Numerical Data'!$1:$1048576,_xlfn.XMATCH($B13,'Talnagögn | Numerical Data'!$C:$C),_xlfn.XMATCH($B$5,'Talnagögn | Numerical Data'!$1:$1))/INDEX('Talnagögn | Numerical Data'!$1:$1048576,_xlfn.XMATCH($A13,'Talnagögn | Numerical Data'!$B:$B),_xlfn.XMATCH($B$1,'Talnagögn | Numerical Data'!$1:$1))-1</f>
        <v>-0.33960420229064792</v>
      </c>
      <c r="AN13" s="5"/>
      <c r="AO13" s="5"/>
      <c r="AP13" s="5"/>
      <c r="AQ13" s="5"/>
      <c r="AR13" s="5"/>
      <c r="AS13" s="5"/>
    </row>
    <row r="14" spans="1:45" x14ac:dyDescent="0.4">
      <c r="B14" s="645" t="s">
        <v>44</v>
      </c>
      <c r="D14" s="131" t="s">
        <v>44</v>
      </c>
      <c r="E14" s="132"/>
      <c r="F14" s="115"/>
      <c r="G14" s="115"/>
      <c r="H14" s="115"/>
      <c r="I14" s="115"/>
      <c r="J14" s="115"/>
      <c r="K14" s="115"/>
      <c r="L14" s="115"/>
      <c r="M14" s="115"/>
      <c r="N14" s="115"/>
      <c r="O14" s="115"/>
      <c r="P14" s="115"/>
      <c r="Q14" s="115"/>
      <c r="R14" s="409"/>
      <c r="S14" s="396"/>
      <c r="T14" s="396"/>
      <c r="U14" s="396"/>
      <c r="V14" s="410"/>
      <c r="Y14" s="132"/>
      <c r="Z14" s="115"/>
      <c r="AA14" s="115"/>
      <c r="AB14" s="115"/>
      <c r="AC14" s="115"/>
      <c r="AD14" s="115"/>
      <c r="AE14" s="115"/>
      <c r="AF14" s="115"/>
      <c r="AG14" s="115"/>
      <c r="AH14" s="115"/>
      <c r="AI14" s="115"/>
      <c r="AJ14" s="115"/>
      <c r="AK14" s="115"/>
      <c r="AL14" s="119"/>
      <c r="AM14" s="120"/>
      <c r="AN14" s="5"/>
      <c r="AO14" s="5"/>
      <c r="AP14" s="5"/>
      <c r="AQ14" s="5"/>
      <c r="AR14" s="5"/>
      <c r="AS14" s="5"/>
    </row>
    <row r="15" spans="1:45" s="21" customFormat="1" x14ac:dyDescent="0.4">
      <c r="A15" s="27"/>
      <c r="B15" s="645" t="s">
        <v>44</v>
      </c>
      <c r="C15" s="645"/>
      <c r="D15" s="131" t="s">
        <v>44</v>
      </c>
      <c r="E15" s="132"/>
      <c r="F15" s="115"/>
      <c r="G15" s="115"/>
      <c r="H15" s="115"/>
      <c r="I15" s="115"/>
      <c r="J15" s="115"/>
      <c r="K15" s="115"/>
      <c r="L15" s="115"/>
      <c r="M15" s="115"/>
      <c r="N15" s="115"/>
      <c r="O15" s="115"/>
      <c r="P15" s="115"/>
      <c r="Q15" s="115"/>
      <c r="R15" s="409"/>
      <c r="S15" s="396"/>
      <c r="T15" s="396"/>
      <c r="U15" s="396"/>
      <c r="V15" s="410"/>
      <c r="Y15" s="132"/>
      <c r="Z15" s="115"/>
      <c r="AA15" s="115"/>
      <c r="AB15" s="115"/>
      <c r="AC15" s="115"/>
      <c r="AD15" s="115"/>
      <c r="AE15" s="115"/>
      <c r="AF15" s="115"/>
      <c r="AG15" s="115"/>
      <c r="AH15" s="115"/>
      <c r="AI15" s="115"/>
      <c r="AJ15" s="115"/>
      <c r="AK15" s="115"/>
      <c r="AL15" s="119"/>
      <c r="AM15" s="120"/>
    </row>
    <row r="16" spans="1:45" s="21" customFormat="1" ht="34.799999999999997" x14ac:dyDescent="0.55000000000000004">
      <c r="A16" s="27"/>
      <c r="B16" s="645"/>
      <c r="C16" s="645"/>
      <c r="D16" s="131"/>
      <c r="E16" s="675" t="s">
        <v>365</v>
      </c>
      <c r="F16" s="674"/>
      <c r="G16" s="674"/>
      <c r="H16" s="674"/>
      <c r="I16" s="674"/>
      <c r="J16" s="674"/>
      <c r="K16" s="674"/>
      <c r="L16" s="674"/>
      <c r="M16" s="674"/>
      <c r="N16" s="115"/>
      <c r="O16" s="675" t="s">
        <v>365</v>
      </c>
      <c r="P16" s="674"/>
      <c r="Q16" s="674"/>
      <c r="R16" s="674"/>
      <c r="S16" s="674"/>
      <c r="T16" s="396"/>
      <c r="U16" s="396"/>
      <c r="V16" s="410"/>
      <c r="Y16" s="675" t="s">
        <v>367</v>
      </c>
      <c r="Z16" s="674"/>
      <c r="AA16" s="674"/>
      <c r="AB16" s="674"/>
      <c r="AC16" s="674"/>
      <c r="AD16" s="674"/>
      <c r="AE16" s="674"/>
      <c r="AF16" s="674"/>
      <c r="AG16" s="674"/>
      <c r="AH16" s="115"/>
      <c r="AI16" s="675" t="s">
        <v>367</v>
      </c>
      <c r="AJ16" s="674"/>
      <c r="AK16" s="674"/>
      <c r="AL16" s="674"/>
      <c r="AM16" s="674"/>
    </row>
    <row r="17" spans="1:45" ht="48" customHeight="1" x14ac:dyDescent="0.4">
      <c r="D17" s="123"/>
      <c r="E17" s="1339" t="str">
        <f>$E$5</f>
        <v>STAÐAN ÁRIÐ 2025</v>
      </c>
      <c r="F17" s="405"/>
      <c r="G17" s="404"/>
      <c r="H17" s="404"/>
      <c r="I17" s="404"/>
      <c r="J17" s="404"/>
      <c r="K17" s="404"/>
      <c r="L17" s="404"/>
      <c r="M17" s="404"/>
      <c r="N17" s="115"/>
      <c r="O17" s="1339" t="str">
        <f>$O$5</f>
        <v>FRAMTÍÐARHORFUR</v>
      </c>
      <c r="P17" s="1400" t="str">
        <f>$P$5</f>
        <v>Áætluð breyting í losun út frá
sviðsmynd byggð á aðgerðum stjórvalda</v>
      </c>
      <c r="Q17" s="1401"/>
      <c r="R17" s="1401"/>
      <c r="S17" s="1403"/>
      <c r="T17" s="411"/>
      <c r="U17" s="411"/>
      <c r="V17" s="162"/>
      <c r="Y17" s="1339" t="str">
        <f>$Y$5</f>
        <v>2025 EMISSIONS</v>
      </c>
      <c r="Z17" s="402"/>
      <c r="AA17" s="403"/>
      <c r="AB17" s="403"/>
      <c r="AC17" s="403"/>
      <c r="AD17" s="403"/>
      <c r="AE17" s="403"/>
      <c r="AF17" s="404"/>
      <c r="AG17" s="403"/>
      <c r="AH17" s="115"/>
      <c r="AI17" s="1339" t="str">
        <f>$AI$5</f>
        <v>OUTLOOKS</v>
      </c>
      <c r="AJ17" s="1400" t="str">
        <f>$AJ$5</f>
        <v>Estimated change in emissions based on
government policy-based scenario</v>
      </c>
      <c r="AK17" s="1401"/>
      <c r="AL17" s="1401"/>
      <c r="AM17" s="1401"/>
      <c r="AN17" s="5"/>
      <c r="AO17" s="5"/>
      <c r="AP17" s="5"/>
      <c r="AQ17" s="5"/>
      <c r="AR17" s="5"/>
      <c r="AS17" s="5"/>
    </row>
    <row r="18" spans="1:45" s="21" customFormat="1" ht="17.399999999999999" x14ac:dyDescent="0.4">
      <c r="A18" s="19"/>
      <c r="B18" s="647" t="s">
        <v>44</v>
      </c>
      <c r="C18" s="647"/>
      <c r="D18" s="131" t="s">
        <v>44</v>
      </c>
      <c r="E18" s="1339"/>
      <c r="F18" s="1341" t="str">
        <f>"Losun "&amp;$A$1</f>
        <v>Losun 2025</v>
      </c>
      <c r="G18" s="1342"/>
      <c r="H18" s="1345" t="str">
        <f>"Breyting frá "&amp;$B$3</f>
        <v>Breyting frá 2024</v>
      </c>
      <c r="I18" s="1342"/>
      <c r="J18" s="1345" t="str">
        <f>"Breyting frá "&amp;$B$2</f>
        <v>Breyting frá 2005</v>
      </c>
      <c r="K18" s="1342"/>
      <c r="L18" s="1345" t="str">
        <f>"Breyting frá "&amp;$B$1</f>
        <v>Breyting frá 1990</v>
      </c>
      <c r="M18" s="1402"/>
      <c r="N18" s="115"/>
      <c r="O18" s="1339"/>
      <c r="P18" s="1345" t="s">
        <v>342</v>
      </c>
      <c r="Q18" s="1342"/>
      <c r="R18" s="1345" t="s">
        <v>343</v>
      </c>
      <c r="S18" s="1342"/>
      <c r="T18" s="396"/>
      <c r="U18" s="396"/>
      <c r="V18" s="410"/>
      <c r="Y18" s="1339"/>
      <c r="Z18" s="1341" t="str">
        <f>$Z$6</f>
        <v>Emissions in 2025</v>
      </c>
      <c r="AA18" s="1342"/>
      <c r="AB18" s="1345" t="str">
        <f>$AB$6</f>
        <v>Change from 2024</v>
      </c>
      <c r="AC18" s="1342"/>
      <c r="AD18" s="1345" t="str">
        <f>$AD$6</f>
        <v>Change from 2005</v>
      </c>
      <c r="AE18" s="1342"/>
      <c r="AF18" s="1345" t="str">
        <f>$AF$6</f>
        <v>Change from 1990</v>
      </c>
      <c r="AG18" s="1402"/>
      <c r="AH18" s="115"/>
      <c r="AI18" s="1339"/>
      <c r="AJ18" s="1345" t="str">
        <f>$AJ$6</f>
        <v>2030 compared to 2005</v>
      </c>
      <c r="AK18" s="1342"/>
      <c r="AL18" s="1345" t="str">
        <f>$AL$6</f>
        <v>2055 compared to 1990</v>
      </c>
      <c r="AM18" s="1342"/>
    </row>
    <row r="19" spans="1:45" ht="17.399999999999999" thickBot="1" x14ac:dyDescent="0.45">
      <c r="B19" s="645" t="s">
        <v>44</v>
      </c>
      <c r="D19" s="123" t="s">
        <v>44</v>
      </c>
      <c r="E19" s="1340"/>
      <c r="F19" s="238" t="s">
        <v>333</v>
      </c>
      <c r="G19" s="239" t="s">
        <v>4</v>
      </c>
      <c r="H19" s="238" t="str">
        <f>$F$7</f>
        <v>Þús. tonn CO₂-íg.</v>
      </c>
      <c r="I19" s="239" t="s">
        <v>4</v>
      </c>
      <c r="J19" s="238" t="str">
        <f>$F$7</f>
        <v>Þús. tonn CO₂-íg.</v>
      </c>
      <c r="K19" s="239" t="s">
        <v>4</v>
      </c>
      <c r="L19" s="238" t="str">
        <f>$F$7</f>
        <v>Þús. tonn CO₂-íg.</v>
      </c>
      <c r="M19" s="238" t="s">
        <v>4</v>
      </c>
      <c r="N19" s="115"/>
      <c r="O19" s="1340"/>
      <c r="P19" s="238" t="str">
        <f>$F$7</f>
        <v>Þús. tonn CO₂-íg.</v>
      </c>
      <c r="Q19" s="239" t="s">
        <v>4</v>
      </c>
      <c r="R19" s="238" t="str">
        <f>$F$7</f>
        <v>Þús. tonn CO₂-íg.</v>
      </c>
      <c r="S19" s="238" t="s">
        <v>4</v>
      </c>
      <c r="V19" s="162"/>
      <c r="Y19" s="1340"/>
      <c r="Z19" s="238" t="str">
        <f>$Z$7</f>
        <v>Thousand tons CO₂e</v>
      </c>
      <c r="AA19" s="239" t="s">
        <v>4</v>
      </c>
      <c r="AB19" s="238" t="str">
        <f>$Z$7</f>
        <v>Thousand tons CO₂e</v>
      </c>
      <c r="AC19" s="239" t="s">
        <v>4</v>
      </c>
      <c r="AD19" s="238" t="str">
        <f>$F$7</f>
        <v>Þús. tonn CO₂-íg.</v>
      </c>
      <c r="AE19" s="239" t="s">
        <v>4</v>
      </c>
      <c r="AF19" s="238" t="str">
        <f>$Z$7</f>
        <v>Thousand tons CO₂e</v>
      </c>
      <c r="AG19" s="238" t="s">
        <v>4</v>
      </c>
      <c r="AH19" s="115"/>
      <c r="AI19" s="1340"/>
      <c r="AJ19" s="238" t="str">
        <f>$Z$7</f>
        <v>Thousand tons CO₂e</v>
      </c>
      <c r="AK19" s="239" t="s">
        <v>4</v>
      </c>
      <c r="AL19" s="238" t="str">
        <f>$Z$7</f>
        <v>Thousand tons CO₂e</v>
      </c>
      <c r="AM19" s="238" t="s">
        <v>4</v>
      </c>
      <c r="AN19" s="5"/>
      <c r="AO19" s="5"/>
      <c r="AP19" s="5"/>
      <c r="AQ19" s="5"/>
      <c r="AR19" s="5"/>
      <c r="AS19" s="5"/>
    </row>
    <row r="20" spans="1:45" s="21" customFormat="1" ht="21" customHeight="1" thickTop="1" x14ac:dyDescent="0.4">
      <c r="A20" s="2" t="s">
        <v>38</v>
      </c>
      <c r="B20" s="2" t="s">
        <v>221</v>
      </c>
      <c r="C20" s="2" t="s">
        <v>228</v>
      </c>
      <c r="D20" s="131" t="s">
        <v>44</v>
      </c>
      <c r="E20" s="370" t="s">
        <v>3</v>
      </c>
      <c r="F20" s="290" cm="1">
        <f t="array" ref="F20">INDEX('Talnagögn | Numerical Data'!$1:$1048576,_xlfn.XMATCH($A20,'Talnagögn | Numerical Data'!$B:$B),_xlfn.XMATCH($A$1,'Talnagögn | Numerical Data'!$1:$1))</f>
        <v>1804.0629487280448</v>
      </c>
      <c r="G20" s="371">
        <f>$F20/$F$24</f>
        <v>0.40184812010925958</v>
      </c>
      <c r="H20" s="290" cm="1">
        <f t="array" ref="H20">INDEX('Talnagögn | Numerical Data'!$1:$1048576,_xlfn.XMATCH($A20,'Talnagögn | Numerical Data'!$B:$B),_xlfn.XMATCH($A$1,'Talnagögn | Numerical Data'!$1:$1))-INDEX('Talnagögn | Numerical Data'!$1:$1048576,_xlfn.XMATCH($A20,'Talnagögn | Numerical Data'!$B:$B),_xlfn.XMATCH($B$3,'Talnagögn | Numerical Data'!$1:$1))</f>
        <v>-62.417350175189085</v>
      </c>
      <c r="I20" s="372" cm="1">
        <f t="array" ref="I20">INDEX('Talnagögn | Numerical Data'!$1:$1048576,_xlfn.XMATCH($A20,'Talnagögn | Numerical Data'!$B:$B),_xlfn.XMATCH($A$1,'Talnagögn | Numerical Data'!$1:$1))/INDEX('Talnagögn | Numerical Data'!$1:$1048576,_xlfn.XMATCH($A20,'Talnagögn | Numerical Data'!$B:$B),_xlfn.XMATCH($B$3,'Talnagögn | Numerical Data'!$1:$1))-1</f>
        <v>-3.3441204930942048E-2</v>
      </c>
      <c r="J20" s="290" cm="1">
        <f t="array" ref="J20">INDEX('Talnagögn | Numerical Data'!$1:$1048576,_xlfn.XMATCH($A20,'Talnagögn | Numerical Data'!$B:$B),_xlfn.XMATCH($A$1,'Talnagögn | Numerical Data'!$1:$1))-INDEX('Talnagögn | Numerical Data'!$1:$1048576,_xlfn.XMATCH($A20,'Talnagögn | Numerical Data'!$B:$B),_xlfn.XMATCH($B$2,'Talnagögn | Numerical Data'!$1:$1))</f>
        <v>-352.27133380126816</v>
      </c>
      <c r="K20" s="371" cm="1">
        <f t="array" ref="K20">INDEX('Talnagögn | Numerical Data'!$1:$1048576,_xlfn.XMATCH($A20,'Talnagögn | Numerical Data'!$B:$B),_xlfn.XMATCH($A$1,'Talnagögn | Numerical Data'!$1:$1))/INDEX('Talnagögn | Numerical Data'!$1:$1048576,_xlfn.XMATCH($A20,'Talnagögn | Numerical Data'!$B:$B),_xlfn.XMATCH($B$2,'Talnagögn | Numerical Data'!$1:$1))-1</f>
        <v>-0.16336582720748882</v>
      </c>
      <c r="L20" s="290" cm="1">
        <f t="array" ref="L20">INDEX('Talnagögn | Numerical Data'!$1:$1048576,_xlfn.XMATCH($A20,'Talnagögn | Numerical Data'!$B:$B),_xlfn.XMATCH($A$1,'Talnagögn | Numerical Data'!$1:$1))-INDEX('Talnagögn | Numerical Data'!$1:$1048576,_xlfn.XMATCH($A20,'Talnagögn | Numerical Data'!$B:$B),_xlfn.XMATCH($B$1,'Talnagögn | Numerical Data'!$1:$1))</f>
        <v>-36.503890116164257</v>
      </c>
      <c r="M20" s="401" cm="1">
        <f t="array" ref="M20">INDEX('Talnagögn | Numerical Data'!$1:$1048576,_xlfn.XMATCH($A20,'Talnagögn | Numerical Data'!$B:$B),_xlfn.XMATCH($A$1,'Talnagögn | Numerical Data'!$1:$1))/INDEX('Talnagögn | Numerical Data'!$1:$1048576,_xlfn.XMATCH($A20,'Talnagögn | Numerical Data'!$B:$B),_xlfn.XMATCH($B$1,'Talnagögn | Numerical Data'!$1:$1))-1</f>
        <v>-1.9832960882358974E-2</v>
      </c>
      <c r="N20" s="115"/>
      <c r="O20" s="370" t="s">
        <v>3</v>
      </c>
      <c r="P20" s="290" cm="1">
        <f t="array" ref="P20">INDEX('Talnagögn | Numerical Data'!$1:$1048576,_xlfn.XMATCH($B20,'Talnagögn | Numerical Data'!$C:$C),_xlfn.XMATCH($B$4,'Talnagögn | Numerical Data'!$1:$1))-INDEX('Talnagögn | Numerical Data'!$1:$1048576,_xlfn.XMATCH($A20,'Talnagögn | Numerical Data'!$B:$B),_xlfn.XMATCH($B$2,'Talnagögn | Numerical Data'!$1:$1))</f>
        <v>-540.39631467036611</v>
      </c>
      <c r="Q20" s="371" cm="1">
        <f t="array" ref="Q20">INDEX('Talnagögn | Numerical Data'!$1:$1048576,_xlfn.XMATCH($B20,'Talnagögn | Numerical Data'!$C:$C),_xlfn.XMATCH($B$4,'Talnagögn | Numerical Data'!$1:$1))/INDEX('Talnagögn | Numerical Data'!$1:$1048576,_xlfn.XMATCH($A20,'Talnagögn | Numerical Data'!$B:$B),_xlfn.XMATCH($B$2,'Talnagögn | Numerical Data'!$1:$1))-1</f>
        <v>-0.25060878503331963</v>
      </c>
      <c r="R20" s="290" cm="1">
        <f t="array" ref="R20">INDEX('Talnagögn | Numerical Data'!$1:$1048576,_xlfn.XMATCH($B20,'Talnagögn | Numerical Data'!$C:$C),_xlfn.XMATCH($B$5,'Talnagögn | Numerical Data'!$1:$1))-INDEX('Talnagögn | Numerical Data'!$1:$1048576,_xlfn.XMATCH($A20,'Talnagögn | Numerical Data'!$B:$B),_xlfn.XMATCH($B$1,'Talnagögn | Numerical Data'!$1:$1))</f>
        <v>-1395.6456518897699</v>
      </c>
      <c r="S20" s="292" cm="1">
        <f t="array" ref="S20">INDEX('Talnagögn | Numerical Data'!$1:$1048576,_xlfn.XMATCH($B20,'Talnagögn | Numerical Data'!$C:$C),_xlfn.XMATCH($B$5,'Talnagögn | Numerical Data'!$1:$1))/INDEX('Talnagögn | Numerical Data'!$1:$1048576,_xlfn.XMATCH($A20,'Talnagögn | Numerical Data'!$B:$B),_xlfn.XMATCH($B$1,'Talnagögn | Numerical Data'!$1:$1))-1</f>
        <v>-0.75826947570465353</v>
      </c>
      <c r="V20" s="408"/>
      <c r="Y20" s="370" t="str">
        <f>'Talnagögn | Numerical Data'!$G$6</f>
        <v>Energy</v>
      </c>
      <c r="Z20" s="290" cm="1">
        <f t="array" ref="Z20">INDEX('Talnagögn | Numerical Data'!$1:$1048576,_xlfn.XMATCH($A20,'Talnagögn | Numerical Data'!$B:$B),_xlfn.XMATCH($A$1,'Talnagögn | Numerical Data'!$1:$1))</f>
        <v>1804.0629487280448</v>
      </c>
      <c r="AA20" s="371">
        <f>$F20/$F$24</f>
        <v>0.40184812010925958</v>
      </c>
      <c r="AB20" s="290" cm="1">
        <f t="array" ref="AB20">INDEX('Talnagögn | Numerical Data'!$1:$1048576,_xlfn.XMATCH($A20,'Talnagögn | Numerical Data'!$B:$B),_xlfn.XMATCH($A$1,'Talnagögn | Numerical Data'!$1:$1))-INDEX('Talnagögn | Numerical Data'!$1:$1048576,_xlfn.XMATCH($A20,'Talnagögn | Numerical Data'!$B:$B),_xlfn.XMATCH($B$3,'Talnagögn | Numerical Data'!$1:$1))</f>
        <v>-62.417350175189085</v>
      </c>
      <c r="AC20" s="372" cm="1">
        <f t="array" ref="AC20">INDEX('Talnagögn | Numerical Data'!$1:$1048576,_xlfn.XMATCH($A20,'Talnagögn | Numerical Data'!$B:$B),_xlfn.XMATCH($A$1,'Talnagögn | Numerical Data'!$1:$1))/INDEX('Talnagögn | Numerical Data'!$1:$1048576,_xlfn.XMATCH($A20,'Talnagögn | Numerical Data'!$B:$B),_xlfn.XMATCH($B$3,'Talnagögn | Numerical Data'!$1:$1))-1</f>
        <v>-3.3441204930942048E-2</v>
      </c>
      <c r="AD20" s="290" cm="1">
        <f t="array" ref="AD20">INDEX('Talnagögn | Numerical Data'!$1:$1048576,_xlfn.XMATCH($A20,'Talnagögn | Numerical Data'!$B:$B),_xlfn.XMATCH($A$1,'Talnagögn | Numerical Data'!$1:$1))-INDEX('Talnagögn | Numerical Data'!$1:$1048576,_xlfn.XMATCH($A20,'Talnagögn | Numerical Data'!$B:$B),_xlfn.XMATCH($B$2,'Talnagögn | Numerical Data'!$1:$1))</f>
        <v>-352.27133380126816</v>
      </c>
      <c r="AE20" s="371" cm="1">
        <f t="array" ref="AE20">INDEX('Talnagögn | Numerical Data'!$1:$1048576,_xlfn.XMATCH($A20,'Talnagögn | Numerical Data'!$B:$B),_xlfn.XMATCH($A$1,'Talnagögn | Numerical Data'!$1:$1))/INDEX('Talnagögn | Numerical Data'!$1:$1048576,_xlfn.XMATCH($A20,'Talnagögn | Numerical Data'!$B:$B),_xlfn.XMATCH($B$2,'Talnagögn | Numerical Data'!$1:$1))-1</f>
        <v>-0.16336582720748882</v>
      </c>
      <c r="AF20" s="290" cm="1">
        <f t="array" ref="AF20">INDEX('Talnagögn | Numerical Data'!$1:$1048576,_xlfn.XMATCH($A20,'Talnagögn | Numerical Data'!$B:$B),_xlfn.XMATCH($A$1,'Talnagögn | Numerical Data'!$1:$1))-INDEX('Talnagögn | Numerical Data'!$1:$1048576,_xlfn.XMATCH($A20,'Talnagögn | Numerical Data'!$B:$B),_xlfn.XMATCH($B$1,'Talnagögn | Numerical Data'!$1:$1))</f>
        <v>-36.503890116164257</v>
      </c>
      <c r="AG20" s="401" cm="1">
        <f t="array" ref="AG20">INDEX('Talnagögn | Numerical Data'!$1:$1048576,_xlfn.XMATCH($A20,'Talnagögn | Numerical Data'!$B:$B),_xlfn.XMATCH($A$1,'Talnagögn | Numerical Data'!$1:$1))/INDEX('Talnagögn | Numerical Data'!$1:$1048576,_xlfn.XMATCH($A20,'Talnagögn | Numerical Data'!$B:$B),_xlfn.XMATCH($B$1,'Talnagögn | Numerical Data'!$1:$1))-1</f>
        <v>-1.9832960882358974E-2</v>
      </c>
      <c r="AH20" s="115"/>
      <c r="AI20" s="370" t="str">
        <f>'Talnagögn | Numerical Data'!$G$6</f>
        <v>Energy</v>
      </c>
      <c r="AJ20" s="290" cm="1">
        <f t="array" ref="AJ20">INDEX('Talnagögn | Numerical Data'!$1:$1048576,_xlfn.XMATCH($B20,'Talnagögn | Numerical Data'!$C:$C),_xlfn.XMATCH($B$4,'Talnagögn | Numerical Data'!$1:$1))-INDEX('Talnagögn | Numerical Data'!$1:$1048576,_xlfn.XMATCH($A20,'Talnagögn | Numerical Data'!$B:$B),_xlfn.XMATCH($B$2,'Talnagögn | Numerical Data'!$1:$1))</f>
        <v>-540.39631467036611</v>
      </c>
      <c r="AK20" s="371" cm="1">
        <f t="array" ref="AK20">INDEX('Talnagögn | Numerical Data'!$1:$1048576,_xlfn.XMATCH($B20,'Talnagögn | Numerical Data'!$C:$C),_xlfn.XMATCH($B$4,'Talnagögn | Numerical Data'!$1:$1))/INDEX('Talnagögn | Numerical Data'!$1:$1048576,_xlfn.XMATCH($A20,'Talnagögn | Numerical Data'!$B:$B),_xlfn.XMATCH($B$2,'Talnagögn | Numerical Data'!$1:$1))-1</f>
        <v>-0.25060878503331963</v>
      </c>
      <c r="AL20" s="290" cm="1">
        <f t="array" ref="AL20">INDEX('Talnagögn | Numerical Data'!$1:$1048576,_xlfn.XMATCH($B20,'Talnagögn | Numerical Data'!$C:$C),_xlfn.XMATCH($B$5,'Talnagögn | Numerical Data'!$1:$1))-INDEX('Talnagögn | Numerical Data'!$1:$1048576,_xlfn.XMATCH($A20,'Talnagögn | Numerical Data'!$B:$B),_xlfn.XMATCH($B$1,'Talnagögn | Numerical Data'!$1:$1))</f>
        <v>-1395.6456518897699</v>
      </c>
      <c r="AM20" s="292" cm="1">
        <f t="array" ref="AM20">INDEX('Talnagögn | Numerical Data'!$1:$1048576,_xlfn.XMATCH($B20,'Talnagögn | Numerical Data'!$C:$C),_xlfn.XMATCH($B$5,'Talnagögn | Numerical Data'!$1:$1))/INDEX('Talnagögn | Numerical Data'!$1:$1048576,_xlfn.XMATCH($A20,'Talnagögn | Numerical Data'!$B:$B),_xlfn.XMATCH($B$1,'Talnagögn | Numerical Data'!$1:$1))-1</f>
        <v>-0.75826947570465353</v>
      </c>
    </row>
    <row r="21" spans="1:45" ht="21" customHeight="1" x14ac:dyDescent="0.4">
      <c r="A21" s="2" t="s">
        <v>39</v>
      </c>
      <c r="B21" s="2" t="s">
        <v>222</v>
      </c>
      <c r="C21" s="2" t="s">
        <v>229</v>
      </c>
      <c r="D21" s="131" t="s">
        <v>44</v>
      </c>
      <c r="E21" s="370" t="s">
        <v>177</v>
      </c>
      <c r="F21" s="290" cm="1">
        <f t="array" ref="F21">INDEX('Talnagögn | Numerical Data'!$1:$1048576,_xlfn.XMATCH($A21,'Talnagögn | Numerical Data'!$B:$B),_xlfn.XMATCH($A$1,'Talnagögn | Numerical Data'!$1:$1))</f>
        <v>1794.4196472392562</v>
      </c>
      <c r="G21" s="371">
        <f>$F21/$F$24</f>
        <v>0.39970011159456298</v>
      </c>
      <c r="H21" s="290" cm="1">
        <f t="array" ref="H21">INDEX('Talnagögn | Numerical Data'!$1:$1048576,_xlfn.XMATCH($A21,'Talnagögn | Numerical Data'!$B:$B),_xlfn.XMATCH($A$1,'Talnagögn | Numerical Data'!$1:$1))-INDEX('Talnagögn | Numerical Data'!$1:$1048576,_xlfn.XMATCH($A21,'Talnagögn | Numerical Data'!$B:$B),_xlfn.XMATCH($B$3,'Talnagögn | Numerical Data'!$1:$1))</f>
        <v>-213.05031758347627</v>
      </c>
      <c r="I21" s="371" cm="1">
        <f t="array" ref="I21">INDEX('Talnagögn | Numerical Data'!$1:$1048576,_xlfn.XMATCH($A21,'Talnagögn | Numerical Data'!$B:$B),_xlfn.XMATCH($A$1,'Talnagögn | Numerical Data'!$1:$1))/INDEX('Talnagögn | Numerical Data'!$1:$1048576,_xlfn.XMATCH($A21,'Talnagögn | Numerical Data'!$B:$B),_xlfn.XMATCH($B$3,'Talnagögn | Numerical Data'!$1:$1))-1</f>
        <v>-0.10612876970355545</v>
      </c>
      <c r="J21" s="290" cm="1">
        <f t="array" ref="J21">INDEX('Talnagögn | Numerical Data'!$1:$1048576,_xlfn.XMATCH($A21,'Talnagögn | Numerical Data'!$B:$B),_xlfn.XMATCH($A$1,'Talnagögn | Numerical Data'!$1:$1))-INDEX('Talnagögn | Numerical Data'!$1:$1048576,_xlfn.XMATCH($A21,'Talnagögn | Numerical Data'!$B:$B),_xlfn.XMATCH($B$2,'Talnagögn | Numerical Data'!$1:$1))</f>
        <v>843.51731937973761</v>
      </c>
      <c r="K21" s="371" cm="1">
        <f t="array" ref="K21">INDEX('Talnagögn | Numerical Data'!$1:$1048576,_xlfn.XMATCH($A21,'Talnagögn | Numerical Data'!$B:$B),_xlfn.XMATCH($A$1,'Talnagögn | Numerical Data'!$1:$1))/INDEX('Talnagögn | Numerical Data'!$1:$1048576,_xlfn.XMATCH($A21,'Talnagögn | Numerical Data'!$B:$B),_xlfn.XMATCH($B$2,'Talnagögn | Numerical Data'!$1:$1))-1</f>
        <v>0.887070411614719</v>
      </c>
      <c r="L21" s="290" cm="1">
        <f t="array" ref="L21">INDEX('Talnagögn | Numerical Data'!$1:$1048576,_xlfn.XMATCH($A21,'Talnagögn | Numerical Data'!$B:$B),_xlfn.XMATCH($A$1,'Talnagögn | Numerical Data'!$1:$1))-INDEX('Talnagögn | Numerical Data'!$1:$1048576,_xlfn.XMATCH($A21,'Talnagögn | Numerical Data'!$B:$B),_xlfn.XMATCH($B$1,'Talnagögn | Numerical Data'!$1:$1))</f>
        <v>892.2450581321142</v>
      </c>
      <c r="M21" s="387" cm="1">
        <f t="array" ref="M21">INDEX('Talnagögn | Numerical Data'!$1:$1048576,_xlfn.XMATCH($A21,'Talnagögn | Numerical Data'!$B:$B),_xlfn.XMATCH($A$1,'Talnagögn | Numerical Data'!$1:$1))/INDEX('Talnagögn | Numerical Data'!$1:$1048576,_xlfn.XMATCH($A21,'Talnagögn | Numerical Data'!$B:$B),_xlfn.XMATCH($B$1,'Talnagögn | Numerical Data'!$1:$1))-1</f>
        <v>0.98899378114289971</v>
      </c>
      <c r="N21" s="115"/>
      <c r="O21" s="370" t="s">
        <v>177</v>
      </c>
      <c r="P21" s="290" cm="1">
        <f t="array" ref="P21">INDEX('Talnagögn | Numerical Data'!$1:$1048576,_xlfn.XMATCH($B21,'Talnagögn | Numerical Data'!$C:$C),_xlfn.XMATCH($B$4,'Talnagögn | Numerical Data'!$1:$1))-INDEX('Talnagögn | Numerical Data'!$1:$1048576,_xlfn.XMATCH($A21,'Talnagögn | Numerical Data'!$B:$B),_xlfn.XMATCH($B$2,'Talnagögn | Numerical Data'!$1:$1))</f>
        <v>1018.8195136841188</v>
      </c>
      <c r="Q21" s="371" cm="1">
        <f t="array" ref="Q21">INDEX('Talnagögn | Numerical Data'!$1:$1048576,_xlfn.XMATCH($B21,'Talnagögn | Numerical Data'!$C:$C),_xlfn.XMATCH($B$4,'Talnagögn | Numerical Data'!$1:$1))/INDEX('Talnagögn | Numerical Data'!$1:$1048576,_xlfn.XMATCH($A21,'Talnagögn | Numerical Data'!$B:$B),_xlfn.XMATCH($B$2,'Talnagögn | Numerical Data'!$1:$1))-1</f>
        <v>1.0714239347562455</v>
      </c>
      <c r="R21" s="290" cm="1">
        <f t="array" ref="R21">INDEX('Talnagögn | Numerical Data'!$1:$1048576,_xlfn.XMATCH($B21,'Talnagögn | Numerical Data'!$C:$C),_xlfn.XMATCH($B$5,'Talnagögn | Numerical Data'!$1:$1))-INDEX('Talnagögn | Numerical Data'!$1:$1048576,_xlfn.XMATCH($A21,'Talnagögn | Numerical Data'!$B:$B),_xlfn.XMATCH($B$1,'Talnagögn | Numerical Data'!$1:$1))</f>
        <v>1050.2147585854218</v>
      </c>
      <c r="S21" s="292" cm="1">
        <f t="array" ref="S21">INDEX('Talnagögn | Numerical Data'!$1:$1048576,_xlfn.XMATCH($B21,'Talnagögn | Numerical Data'!$C:$C),_xlfn.XMATCH($B$5,'Talnagögn | Numerical Data'!$1:$1))/INDEX('Talnagögn | Numerical Data'!$1:$1048576,_xlfn.XMATCH($A21,'Talnagögn | Numerical Data'!$B:$B),_xlfn.XMATCH($B$1,'Talnagögn | Numerical Data'!$1:$1))-1</f>
        <v>1.1640925950095662</v>
      </c>
      <c r="T21" s="5"/>
      <c r="U21" s="5"/>
      <c r="V21" s="408"/>
      <c r="Y21" s="370" t="str">
        <f>'Talnagögn | Numerical Data'!$G$7</f>
        <v>Industrial Processes and Product Use</v>
      </c>
      <c r="Z21" s="290" cm="1">
        <f t="array" ref="Z21">INDEX('Talnagögn | Numerical Data'!$1:$1048576,_xlfn.XMATCH($A21,'Talnagögn | Numerical Data'!$B:$B),_xlfn.XMATCH($A$1,'Talnagögn | Numerical Data'!$1:$1))</f>
        <v>1794.4196472392562</v>
      </c>
      <c r="AA21" s="371">
        <f>$F21/$F$24</f>
        <v>0.39970011159456298</v>
      </c>
      <c r="AB21" s="290" cm="1">
        <f t="array" ref="AB21">INDEX('Talnagögn | Numerical Data'!$1:$1048576,_xlfn.XMATCH($A21,'Talnagögn | Numerical Data'!$B:$B),_xlfn.XMATCH($A$1,'Talnagögn | Numerical Data'!$1:$1))-INDEX('Talnagögn | Numerical Data'!$1:$1048576,_xlfn.XMATCH($A21,'Talnagögn | Numerical Data'!$B:$B),_xlfn.XMATCH($B$3,'Talnagögn | Numerical Data'!$1:$1))</f>
        <v>-213.05031758347627</v>
      </c>
      <c r="AC21" s="371" cm="1">
        <f t="array" ref="AC21">INDEX('Talnagögn | Numerical Data'!$1:$1048576,_xlfn.XMATCH($A21,'Talnagögn | Numerical Data'!$B:$B),_xlfn.XMATCH($A$1,'Talnagögn | Numerical Data'!$1:$1))/INDEX('Talnagögn | Numerical Data'!$1:$1048576,_xlfn.XMATCH($A21,'Talnagögn | Numerical Data'!$B:$B),_xlfn.XMATCH($B$3,'Talnagögn | Numerical Data'!$1:$1))-1</f>
        <v>-0.10612876970355545</v>
      </c>
      <c r="AD21" s="290" cm="1">
        <f t="array" ref="AD21">INDEX('Talnagögn | Numerical Data'!$1:$1048576,_xlfn.XMATCH($A21,'Talnagögn | Numerical Data'!$B:$B),_xlfn.XMATCH($A$1,'Talnagögn | Numerical Data'!$1:$1))-INDEX('Talnagögn | Numerical Data'!$1:$1048576,_xlfn.XMATCH($A21,'Talnagögn | Numerical Data'!$B:$B),_xlfn.XMATCH($B$2,'Talnagögn | Numerical Data'!$1:$1))</f>
        <v>843.51731937973761</v>
      </c>
      <c r="AE21" s="371" cm="1">
        <f t="array" ref="AE21">INDEX('Talnagögn | Numerical Data'!$1:$1048576,_xlfn.XMATCH($A21,'Talnagögn | Numerical Data'!$B:$B),_xlfn.XMATCH($A$1,'Talnagögn | Numerical Data'!$1:$1))/INDEX('Talnagögn | Numerical Data'!$1:$1048576,_xlfn.XMATCH($A21,'Talnagögn | Numerical Data'!$B:$B),_xlfn.XMATCH($B$2,'Talnagögn | Numerical Data'!$1:$1))-1</f>
        <v>0.887070411614719</v>
      </c>
      <c r="AF21" s="290" cm="1">
        <f t="array" ref="AF21">INDEX('Talnagögn | Numerical Data'!$1:$1048576,_xlfn.XMATCH($A21,'Talnagögn | Numerical Data'!$B:$B),_xlfn.XMATCH($A$1,'Talnagögn | Numerical Data'!$1:$1))-INDEX('Talnagögn | Numerical Data'!$1:$1048576,_xlfn.XMATCH($A21,'Talnagögn | Numerical Data'!$B:$B),_xlfn.XMATCH($B$1,'Talnagögn | Numerical Data'!$1:$1))</f>
        <v>892.2450581321142</v>
      </c>
      <c r="AG21" s="387" cm="1">
        <f t="array" ref="AG21">INDEX('Talnagögn | Numerical Data'!$1:$1048576,_xlfn.XMATCH($A21,'Talnagögn | Numerical Data'!$B:$B),_xlfn.XMATCH($A$1,'Talnagögn | Numerical Data'!$1:$1))/INDEX('Talnagögn | Numerical Data'!$1:$1048576,_xlfn.XMATCH($A21,'Talnagögn | Numerical Data'!$B:$B),_xlfn.XMATCH($B$1,'Talnagögn | Numerical Data'!$1:$1))-1</f>
        <v>0.98899378114289971</v>
      </c>
      <c r="AH21" s="115"/>
      <c r="AI21" s="370" t="str">
        <f>'Talnagögn | Numerical Data'!$G$7</f>
        <v>Industrial Processes and Product Use</v>
      </c>
      <c r="AJ21" s="290" cm="1">
        <f t="array" ref="AJ21">INDEX('Talnagögn | Numerical Data'!$1:$1048576,_xlfn.XMATCH($B21,'Talnagögn | Numerical Data'!$C:$C),_xlfn.XMATCH($B$4,'Talnagögn | Numerical Data'!$1:$1))-INDEX('Talnagögn | Numerical Data'!$1:$1048576,_xlfn.XMATCH($A21,'Talnagögn | Numerical Data'!$B:$B),_xlfn.XMATCH($B$2,'Talnagögn | Numerical Data'!$1:$1))</f>
        <v>1018.8195136841188</v>
      </c>
      <c r="AK21" s="371" cm="1">
        <f t="array" ref="AK21">INDEX('Talnagögn | Numerical Data'!$1:$1048576,_xlfn.XMATCH($B21,'Talnagögn | Numerical Data'!$C:$C),_xlfn.XMATCH($B$4,'Talnagögn | Numerical Data'!$1:$1))/INDEX('Talnagögn | Numerical Data'!$1:$1048576,_xlfn.XMATCH($A21,'Talnagögn | Numerical Data'!$B:$B),_xlfn.XMATCH($B$2,'Talnagögn | Numerical Data'!$1:$1))-1</f>
        <v>1.0714239347562455</v>
      </c>
      <c r="AL21" s="290" cm="1">
        <f t="array" ref="AL21">INDEX('Talnagögn | Numerical Data'!$1:$1048576,_xlfn.XMATCH($B21,'Talnagögn | Numerical Data'!$C:$C),_xlfn.XMATCH($B$5,'Talnagögn | Numerical Data'!$1:$1))-INDEX('Talnagögn | Numerical Data'!$1:$1048576,_xlfn.XMATCH($A21,'Talnagögn | Numerical Data'!$B:$B),_xlfn.XMATCH($B$1,'Talnagögn | Numerical Data'!$1:$1))</f>
        <v>1050.2147585854218</v>
      </c>
      <c r="AM21" s="292" cm="1">
        <f t="array" ref="AM21">INDEX('Talnagögn | Numerical Data'!$1:$1048576,_xlfn.XMATCH($B21,'Talnagögn | Numerical Data'!$C:$C),_xlfn.XMATCH($B$5,'Talnagögn | Numerical Data'!$1:$1))/INDEX('Talnagögn | Numerical Data'!$1:$1048576,_xlfn.XMATCH($A21,'Talnagögn | Numerical Data'!$B:$B),_xlfn.XMATCH($B$1,'Talnagögn | Numerical Data'!$1:$1))-1</f>
        <v>1.1640925950095662</v>
      </c>
      <c r="AN21" s="5"/>
      <c r="AO21" s="5"/>
      <c r="AP21" s="5"/>
      <c r="AQ21" s="5"/>
      <c r="AR21" s="5"/>
      <c r="AS21" s="5"/>
    </row>
    <row r="22" spans="1:45" ht="21" customHeight="1" x14ac:dyDescent="0.4">
      <c r="A22" s="2" t="s">
        <v>40</v>
      </c>
      <c r="B22" s="2" t="s">
        <v>223</v>
      </c>
      <c r="C22" s="2" t="s">
        <v>230</v>
      </c>
      <c r="D22" s="131" t="s">
        <v>44</v>
      </c>
      <c r="E22" s="375" t="s">
        <v>2</v>
      </c>
      <c r="F22" s="290" cm="1">
        <f t="array" ref="F22">INDEX('Talnagögn | Numerical Data'!$1:$1048576,_xlfn.XMATCH($A22,'Talnagögn | Numerical Data'!$B:$B),_xlfn.XMATCH($A$1,'Talnagögn | Numerical Data'!$1:$1))</f>
        <v>668.34042724521601</v>
      </c>
      <c r="G22" s="371">
        <f>$F22/$F$24</f>
        <v>0.1488702733299111</v>
      </c>
      <c r="H22" s="908" cm="1">
        <f t="array" ref="H22">INDEX('Talnagögn | Numerical Data'!$1:$1048576,_xlfn.XMATCH($A22,'Talnagögn | Numerical Data'!$B:$B),_xlfn.XMATCH($A$1,'Talnagögn | Numerical Data'!$1:$1))-INDEX('Talnagögn | Numerical Data'!$1:$1048576,_xlfn.XMATCH($A22,'Talnagögn | Numerical Data'!$B:$B),_xlfn.XMATCH($B$3,'Talnagögn | Numerical Data'!$1:$1))</f>
        <v>-0.41798729362869835</v>
      </c>
      <c r="I22" s="907" cm="1">
        <f t="array" ref="I22">INDEX('Talnagögn | Numerical Data'!$1:$1048576,_xlfn.XMATCH($A22,'Talnagögn | Numerical Data'!$B:$B),_xlfn.XMATCH($A$1,'Talnagögn | Numerical Data'!$1:$1))/INDEX('Talnagögn | Numerical Data'!$1:$1048576,_xlfn.XMATCH($A22,'Talnagögn | Numerical Data'!$B:$B),_xlfn.XMATCH($B$3,'Talnagögn | Numerical Data'!$1:$1))-1</f>
        <v>-6.2501986448559865E-4</v>
      </c>
      <c r="J22" s="290" cm="1">
        <f t="array" ref="J22">INDEX('Talnagögn | Numerical Data'!$1:$1048576,_xlfn.XMATCH($A22,'Talnagögn | Numerical Data'!$B:$B),_xlfn.XMATCH($A$1,'Talnagögn | Numerical Data'!$1:$1))-INDEX('Talnagögn | Numerical Data'!$1:$1048576,_xlfn.XMATCH($A22,'Talnagögn | Numerical Data'!$B:$B),_xlfn.XMATCH($B$2,'Talnagögn | Numerical Data'!$1:$1))</f>
        <v>-17.944766173767107</v>
      </c>
      <c r="K22" s="372" cm="1">
        <f t="array" ref="K22">INDEX('Talnagögn | Numerical Data'!$1:$1048576,_xlfn.XMATCH($A22,'Talnagögn | Numerical Data'!$B:$B),_xlfn.XMATCH($A$1,'Talnagögn | Numerical Data'!$1:$1))/INDEX('Talnagögn | Numerical Data'!$1:$1048576,_xlfn.XMATCH($A22,'Talnagögn | Numerical Data'!$B:$B),_xlfn.XMATCH($B$2,'Talnagögn | Numerical Data'!$1:$1))-1</f>
        <v>-2.6147680797787065E-2</v>
      </c>
      <c r="L22" s="290" cm="1">
        <f t="array" ref="L22">INDEX('Talnagögn | Numerical Data'!$1:$1048576,_xlfn.XMATCH($A22,'Talnagögn | Numerical Data'!$B:$B),_xlfn.XMATCH($A$1,'Talnagögn | Numerical Data'!$1:$1))-INDEX('Talnagögn | Numerical Data'!$1:$1048576,_xlfn.XMATCH($A22,'Talnagögn | Numerical Data'!$B:$B),_xlfn.XMATCH($B$1,'Talnagögn | Numerical Data'!$1:$1))</f>
        <v>-53.430400731629675</v>
      </c>
      <c r="M22" s="293" cm="1">
        <f t="array" ref="M22">INDEX('Talnagögn | Numerical Data'!$1:$1048576,_xlfn.XMATCH($A22,'Talnagögn | Numerical Data'!$B:$B),_xlfn.XMATCH($A$1,'Talnagögn | Numerical Data'!$1:$1))/INDEX('Talnagögn | Numerical Data'!$1:$1048576,_xlfn.XMATCH($A22,'Talnagögn | Numerical Data'!$B:$B),_xlfn.XMATCH($B$1,'Talnagögn | Numerical Data'!$1:$1))-1</f>
        <v>-7.4026822172070017E-2</v>
      </c>
      <c r="N22" s="115"/>
      <c r="O22" s="375" t="s">
        <v>2</v>
      </c>
      <c r="P22" s="290" cm="1">
        <f t="array" ref="P22">INDEX('Talnagögn | Numerical Data'!$1:$1048576,_xlfn.XMATCH($B22,'Talnagögn | Numerical Data'!$C:$C),_xlfn.XMATCH($B$4,'Talnagögn | Numerical Data'!$1:$1))-INDEX('Talnagögn | Numerical Data'!$1:$1048576,_xlfn.XMATCH($A22,'Talnagögn | Numerical Data'!$B:$B),_xlfn.XMATCH($B$2,'Talnagögn | Numerical Data'!$1:$1))</f>
        <v>-35.971427832382574</v>
      </c>
      <c r="Q22" s="372" cm="1">
        <f t="array" ref="Q22">INDEX('Talnagögn | Numerical Data'!$1:$1048576,_xlfn.XMATCH($B22,'Talnagögn | Numerical Data'!$C:$C),_xlfn.XMATCH($B$4,'Talnagögn | Numerical Data'!$1:$1))/INDEX('Talnagögn | Numerical Data'!$1:$1048576,_xlfn.XMATCH($A22,'Talnagögn | Numerical Data'!$B:$B),_xlfn.XMATCH($B$2,'Talnagögn | Numerical Data'!$1:$1))-1</f>
        <v>-5.2414693158652659E-2</v>
      </c>
      <c r="R22" s="290" cm="1">
        <f t="array" ref="R22">INDEX('Talnagögn | Numerical Data'!$1:$1048576,_xlfn.XMATCH($B22,'Talnagögn | Numerical Data'!$C:$C),_xlfn.XMATCH($B$5,'Talnagögn | Numerical Data'!$1:$1))-INDEX('Talnagögn | Numerical Data'!$1:$1048576,_xlfn.XMATCH($A22,'Talnagögn | Numerical Data'!$B:$B),_xlfn.XMATCH($B$1,'Talnagögn | Numerical Data'!$1:$1))</f>
        <v>-133.90036890007912</v>
      </c>
      <c r="S22" s="292" cm="1">
        <f t="array" ref="S22">INDEX('Talnagögn | Numerical Data'!$1:$1048576,_xlfn.XMATCH($B22,'Talnagögn | Numerical Data'!$C:$C),_xlfn.XMATCH($B$5,'Talnagögn | Numerical Data'!$1:$1))/INDEX('Talnagögn | Numerical Data'!$1:$1048576,_xlfn.XMATCH($A22,'Talnagögn | Numerical Data'!$B:$B),_xlfn.XMATCH($B$1,'Talnagögn | Numerical Data'!$1:$1))-1</f>
        <v>-0.18551645994810784</v>
      </c>
      <c r="T22" s="5"/>
      <c r="U22" s="5"/>
      <c r="V22" s="408"/>
      <c r="Y22" s="375" t="str">
        <f>'Talnagögn | Numerical Data'!$G$8</f>
        <v>Agriculture</v>
      </c>
      <c r="Z22" s="290" cm="1">
        <f t="array" ref="Z22">INDEX('Talnagögn | Numerical Data'!$1:$1048576,_xlfn.XMATCH($A22,'Talnagögn | Numerical Data'!$B:$B),_xlfn.XMATCH($A$1,'Talnagögn | Numerical Data'!$1:$1))</f>
        <v>668.34042724521601</v>
      </c>
      <c r="AA22" s="371">
        <f>$F22/$F$24</f>
        <v>0.1488702733299111</v>
      </c>
      <c r="AB22" s="908" cm="1">
        <f t="array" ref="AB22">INDEX('Talnagögn | Numerical Data'!$1:$1048576,_xlfn.XMATCH($A22,'Talnagögn | Numerical Data'!$B:$B),_xlfn.XMATCH($A$1,'Talnagögn | Numerical Data'!$1:$1))-INDEX('Talnagögn | Numerical Data'!$1:$1048576,_xlfn.XMATCH($A22,'Talnagögn | Numerical Data'!$B:$B),_xlfn.XMATCH($B$3,'Talnagögn | Numerical Data'!$1:$1))</f>
        <v>-0.41798729362869835</v>
      </c>
      <c r="AC22" s="907" cm="1">
        <f t="array" ref="AC22">INDEX('Talnagögn | Numerical Data'!$1:$1048576,_xlfn.XMATCH($A22,'Talnagögn | Numerical Data'!$B:$B),_xlfn.XMATCH($A$1,'Talnagögn | Numerical Data'!$1:$1))/INDEX('Talnagögn | Numerical Data'!$1:$1048576,_xlfn.XMATCH($A22,'Talnagögn | Numerical Data'!$B:$B),_xlfn.XMATCH($B$3,'Talnagögn | Numerical Data'!$1:$1))-1</f>
        <v>-6.2501986448559865E-4</v>
      </c>
      <c r="AD22" s="290" cm="1">
        <f t="array" ref="AD22">INDEX('Talnagögn | Numerical Data'!$1:$1048576,_xlfn.XMATCH($A22,'Talnagögn | Numerical Data'!$B:$B),_xlfn.XMATCH($A$1,'Talnagögn | Numerical Data'!$1:$1))-INDEX('Talnagögn | Numerical Data'!$1:$1048576,_xlfn.XMATCH($A22,'Talnagögn | Numerical Data'!$B:$B),_xlfn.XMATCH($B$2,'Talnagögn | Numerical Data'!$1:$1))</f>
        <v>-17.944766173767107</v>
      </c>
      <c r="AE22" s="372" cm="1">
        <f t="array" ref="AE22">INDEX('Talnagögn | Numerical Data'!$1:$1048576,_xlfn.XMATCH($A22,'Talnagögn | Numerical Data'!$B:$B),_xlfn.XMATCH($A$1,'Talnagögn | Numerical Data'!$1:$1))/INDEX('Talnagögn | Numerical Data'!$1:$1048576,_xlfn.XMATCH($A22,'Talnagögn | Numerical Data'!$B:$B),_xlfn.XMATCH($B$2,'Talnagögn | Numerical Data'!$1:$1))-1</f>
        <v>-2.6147680797787065E-2</v>
      </c>
      <c r="AF22" s="290" cm="1">
        <f t="array" ref="AF22">INDEX('Talnagögn | Numerical Data'!$1:$1048576,_xlfn.XMATCH($A22,'Talnagögn | Numerical Data'!$B:$B),_xlfn.XMATCH($A$1,'Talnagögn | Numerical Data'!$1:$1))-INDEX('Talnagögn | Numerical Data'!$1:$1048576,_xlfn.XMATCH($A22,'Talnagögn | Numerical Data'!$B:$B),_xlfn.XMATCH($B$1,'Talnagögn | Numerical Data'!$1:$1))</f>
        <v>-53.430400731629675</v>
      </c>
      <c r="AG22" s="293" cm="1">
        <f t="array" ref="AG22">INDEX('Talnagögn | Numerical Data'!$1:$1048576,_xlfn.XMATCH($A22,'Talnagögn | Numerical Data'!$B:$B),_xlfn.XMATCH($A$1,'Talnagögn | Numerical Data'!$1:$1))/INDEX('Talnagögn | Numerical Data'!$1:$1048576,_xlfn.XMATCH($A22,'Talnagögn | Numerical Data'!$B:$B),_xlfn.XMATCH($B$1,'Talnagögn | Numerical Data'!$1:$1))-1</f>
        <v>-7.4026822172070017E-2</v>
      </c>
      <c r="AH22" s="115"/>
      <c r="AI22" s="375" t="str">
        <f>'Talnagögn | Numerical Data'!$G$8</f>
        <v>Agriculture</v>
      </c>
      <c r="AJ22" s="290" cm="1">
        <f t="array" ref="AJ22">INDEX('Talnagögn | Numerical Data'!$1:$1048576,_xlfn.XMATCH($B22,'Talnagögn | Numerical Data'!$C:$C),_xlfn.XMATCH($B$4,'Talnagögn | Numerical Data'!$1:$1))-INDEX('Talnagögn | Numerical Data'!$1:$1048576,_xlfn.XMATCH($A22,'Talnagögn | Numerical Data'!$B:$B),_xlfn.XMATCH($B$2,'Talnagögn | Numerical Data'!$1:$1))</f>
        <v>-35.971427832382574</v>
      </c>
      <c r="AK22" s="372" cm="1">
        <f t="array" ref="AK22">INDEX('Talnagögn | Numerical Data'!$1:$1048576,_xlfn.XMATCH($B22,'Talnagögn | Numerical Data'!$C:$C),_xlfn.XMATCH($B$4,'Talnagögn | Numerical Data'!$1:$1))/INDEX('Talnagögn | Numerical Data'!$1:$1048576,_xlfn.XMATCH($A22,'Talnagögn | Numerical Data'!$B:$B),_xlfn.XMATCH($B$2,'Talnagögn | Numerical Data'!$1:$1))-1</f>
        <v>-5.2414693158652659E-2</v>
      </c>
      <c r="AL22" s="290" cm="1">
        <f t="array" ref="AL22">INDEX('Talnagögn | Numerical Data'!$1:$1048576,_xlfn.XMATCH($B22,'Talnagögn | Numerical Data'!$C:$C),_xlfn.XMATCH($B$5,'Talnagögn | Numerical Data'!$1:$1))-INDEX('Talnagögn | Numerical Data'!$1:$1048576,_xlfn.XMATCH($A22,'Talnagögn | Numerical Data'!$B:$B),_xlfn.XMATCH($B$1,'Talnagögn | Numerical Data'!$1:$1))</f>
        <v>-133.90036890007912</v>
      </c>
      <c r="AM22" s="292" cm="1">
        <f t="array" ref="AM22">INDEX('Talnagögn | Numerical Data'!$1:$1048576,_xlfn.XMATCH($B22,'Talnagögn | Numerical Data'!$C:$C),_xlfn.XMATCH($B$5,'Talnagögn | Numerical Data'!$1:$1))/INDEX('Talnagögn | Numerical Data'!$1:$1048576,_xlfn.XMATCH($A22,'Talnagögn | Numerical Data'!$B:$B),_xlfn.XMATCH($B$1,'Talnagögn | Numerical Data'!$1:$1))-1</f>
        <v>-0.18551645994810784</v>
      </c>
      <c r="AN22" s="5"/>
      <c r="AO22" s="5"/>
      <c r="AP22" s="5"/>
      <c r="AQ22" s="5"/>
      <c r="AR22" s="5"/>
      <c r="AS22" s="5"/>
    </row>
    <row r="23" spans="1:45" ht="21" customHeight="1" x14ac:dyDescent="0.4">
      <c r="A23" s="2" t="s">
        <v>42</v>
      </c>
      <c r="B23" s="2" t="s">
        <v>225</v>
      </c>
      <c r="C23" s="2" t="s">
        <v>232</v>
      </c>
      <c r="D23" s="131" t="s">
        <v>44</v>
      </c>
      <c r="E23" s="376" t="s">
        <v>1</v>
      </c>
      <c r="F23" s="377" cm="1">
        <f t="array" ref="F23">INDEX('Talnagögn | Numerical Data'!$1:$1048576,_xlfn.XMATCH($A23,'Talnagögn | Numerical Data'!$B:$B),_xlfn.XMATCH($A$1,'Talnagögn | Numerical Data'!$1:$1))</f>
        <v>222.59190359498734</v>
      </c>
      <c r="G23" s="378">
        <f>$F23/$F$24</f>
        <v>4.9581494966266362E-2</v>
      </c>
      <c r="H23" s="617" cm="1">
        <f t="array" ref="H23">INDEX('Talnagögn | Numerical Data'!$1:$1048576,_xlfn.XMATCH($A23,'Talnagögn | Numerical Data'!$B:$B),_xlfn.XMATCH($A$1,'Talnagögn | Numerical Data'!$1:$1))-INDEX('Talnagögn | Numerical Data'!$1:$1048576,_xlfn.XMATCH($A23,'Talnagögn | Numerical Data'!$B:$B),_xlfn.XMATCH($B$3,'Talnagögn | Numerical Data'!$1:$1))</f>
        <v>-16.793902732083069</v>
      </c>
      <c r="I23" s="378" cm="1">
        <f t="array" ref="I23">INDEX('Talnagögn | Numerical Data'!$1:$1048576,_xlfn.XMATCH($A23,'Talnagögn | Numerical Data'!$B:$B),_xlfn.XMATCH($A$1,'Talnagögn | Numerical Data'!$1:$1))/INDEX('Talnagögn | Numerical Data'!$1:$1048576,_xlfn.XMATCH($A23,'Talnagögn | Numerical Data'!$B:$B),_xlfn.XMATCH($B$3,'Talnagögn | Numerical Data'!$1:$1))-1</f>
        <v>-7.0154128975958296E-2</v>
      </c>
      <c r="J23" s="377" cm="1">
        <f t="array" ref="J23">INDEX('Talnagögn | Numerical Data'!$1:$1048576,_xlfn.XMATCH($A23,'Talnagögn | Numerical Data'!$B:$B),_xlfn.XMATCH($A$1,'Talnagögn | Numerical Data'!$1:$1))-INDEX('Talnagögn | Numerical Data'!$1:$1048576,_xlfn.XMATCH($A23,'Talnagögn | Numerical Data'!$B:$B),_xlfn.XMATCH($B$2,'Talnagögn | Numerical Data'!$1:$1))</f>
        <v>-91.372948986054951</v>
      </c>
      <c r="K23" s="379" cm="1">
        <f t="array" ref="K23">INDEX('Talnagögn | Numerical Data'!$1:$1048576,_xlfn.XMATCH($A23,'Talnagögn | Numerical Data'!$B:$B),_xlfn.XMATCH($A$1,'Talnagögn | Numerical Data'!$1:$1))/INDEX('Talnagögn | Numerical Data'!$1:$1048576,_xlfn.XMATCH($A23,'Talnagögn | Numerical Data'!$B:$B),_xlfn.XMATCH($B$2,'Talnagögn | Numerical Data'!$1:$1))-1</f>
        <v>-0.29102922902005179</v>
      </c>
      <c r="L23" s="617" cm="1">
        <f t="array" ref="L23">INDEX('Talnagögn | Numerical Data'!$1:$1048576,_xlfn.XMATCH($A23,'Talnagögn | Numerical Data'!$B:$B),_xlfn.XMATCH($A$1,'Talnagögn | Numerical Data'!$1:$1))-INDEX('Talnagögn | Numerical Data'!$1:$1048576,_xlfn.XMATCH($A23,'Talnagögn | Numerical Data'!$B:$B),_xlfn.XMATCH($B$1,'Talnagögn | Numerical Data'!$1:$1))</f>
        <v>8.0408555542836382</v>
      </c>
      <c r="M23" s="380" cm="1">
        <f t="array" ref="M23">INDEX('Talnagögn | Numerical Data'!$1:$1048576,_xlfn.XMATCH($A23,'Talnagögn | Numerical Data'!$B:$B),_xlfn.XMATCH($A$1,'Talnagögn | Numerical Data'!$1:$1))/INDEX('Talnagögn | Numerical Data'!$1:$1048576,_xlfn.XMATCH($A23,'Talnagögn | Numerical Data'!$B:$B),_xlfn.XMATCH($B$1,'Talnagögn | Numerical Data'!$1:$1))-1</f>
        <v>3.7477586931936813E-2</v>
      </c>
      <c r="N23" s="115"/>
      <c r="O23" s="376" t="s">
        <v>1</v>
      </c>
      <c r="P23" s="377" cm="1">
        <f t="array" ref="P23">INDEX('Talnagögn | Numerical Data'!$1:$1048576,_xlfn.XMATCH($B23,'Talnagögn | Numerical Data'!$C:$C),_xlfn.XMATCH($B$4,'Talnagögn | Numerical Data'!$1:$1))-INDEX('Talnagögn | Numerical Data'!$1:$1048576,_xlfn.XMATCH($A23,'Talnagögn | Numerical Data'!$B:$B),_xlfn.XMATCH($B$2,'Talnagögn | Numerical Data'!$1:$1))</f>
        <v>-155.176977797196</v>
      </c>
      <c r="Q23" s="379" cm="1">
        <f t="array" ref="Q23">INDEX('Talnagögn | Numerical Data'!$1:$1048576,_xlfn.XMATCH($B23,'Talnagögn | Numerical Data'!$C:$C),_xlfn.XMATCH($B$4,'Talnagögn | Numerical Data'!$1:$1))/INDEX('Talnagögn | Numerical Data'!$1:$1048576,_xlfn.XMATCH($A23,'Talnagögn | Numerical Data'!$B:$B),_xlfn.XMATCH($B$2,'Talnagögn | Numerical Data'!$1:$1))-1</f>
        <v>-0.49424952035718994</v>
      </c>
      <c r="R23" s="377" cm="1">
        <f t="array" ref="R23">INDEX('Talnagögn | Numerical Data'!$1:$1048576,_xlfn.XMATCH($B23,'Talnagögn | Numerical Data'!$C:$C),_xlfn.XMATCH($B$5,'Talnagögn | Numerical Data'!$1:$1))-INDEX('Talnagögn | Numerical Data'!$1:$1048576,_xlfn.XMATCH($A23,'Talnagögn | Numerical Data'!$B:$B),_xlfn.XMATCH($B$1,'Talnagögn | Numerical Data'!$1:$1))</f>
        <v>-138.78264021664998</v>
      </c>
      <c r="S23" s="380" cm="1">
        <f t="array" ref="S23">INDEX('Talnagögn | Numerical Data'!$1:$1048576,_xlfn.XMATCH($B23,'Talnagögn | Numerical Data'!$C:$C),_xlfn.XMATCH($B$5,'Talnagögn | Numerical Data'!$1:$1))/INDEX('Talnagögn | Numerical Data'!$1:$1048576,_xlfn.XMATCH($A23,'Talnagögn | Numerical Data'!$B:$B),_xlfn.XMATCH($B$1,'Talnagögn | Numerical Data'!$1:$1))-1</f>
        <v>-0.64685137399245307</v>
      </c>
      <c r="T23" s="5"/>
      <c r="U23" s="5"/>
      <c r="V23" s="408"/>
      <c r="Y23" s="376" t="str">
        <f>'Talnagögn | Numerical Data'!$G$10</f>
        <v>Waste</v>
      </c>
      <c r="Z23" s="377" cm="1">
        <f t="array" ref="Z23">INDEX('Talnagögn | Numerical Data'!$1:$1048576,_xlfn.XMATCH($A23,'Talnagögn | Numerical Data'!$B:$B),_xlfn.XMATCH($A$1,'Talnagögn | Numerical Data'!$1:$1))</f>
        <v>222.59190359498734</v>
      </c>
      <c r="AA23" s="378">
        <f>$F23/$F$24</f>
        <v>4.9581494966266362E-2</v>
      </c>
      <c r="AB23" s="617" cm="1">
        <f t="array" ref="AB23">INDEX('Talnagögn | Numerical Data'!$1:$1048576,_xlfn.XMATCH($A23,'Talnagögn | Numerical Data'!$B:$B),_xlfn.XMATCH($A$1,'Talnagögn | Numerical Data'!$1:$1))-INDEX('Talnagögn | Numerical Data'!$1:$1048576,_xlfn.XMATCH($A23,'Talnagögn | Numerical Data'!$B:$B),_xlfn.XMATCH($B$3,'Talnagögn | Numerical Data'!$1:$1))</f>
        <v>-16.793902732083069</v>
      </c>
      <c r="AC23" s="378" cm="1">
        <f t="array" ref="AC23">INDEX('Talnagögn | Numerical Data'!$1:$1048576,_xlfn.XMATCH($A23,'Talnagögn | Numerical Data'!$B:$B),_xlfn.XMATCH($A$1,'Talnagögn | Numerical Data'!$1:$1))/INDEX('Talnagögn | Numerical Data'!$1:$1048576,_xlfn.XMATCH($A23,'Talnagögn | Numerical Data'!$B:$B),_xlfn.XMATCH($B$3,'Talnagögn | Numerical Data'!$1:$1))-1</f>
        <v>-7.0154128975958296E-2</v>
      </c>
      <c r="AD23" s="377" cm="1">
        <f t="array" ref="AD23">INDEX('Talnagögn | Numerical Data'!$1:$1048576,_xlfn.XMATCH($A23,'Talnagögn | Numerical Data'!$B:$B),_xlfn.XMATCH($A$1,'Talnagögn | Numerical Data'!$1:$1))-INDEX('Talnagögn | Numerical Data'!$1:$1048576,_xlfn.XMATCH($A23,'Talnagögn | Numerical Data'!$B:$B),_xlfn.XMATCH($B$2,'Talnagögn | Numerical Data'!$1:$1))</f>
        <v>-91.372948986054951</v>
      </c>
      <c r="AE23" s="379" cm="1">
        <f t="array" ref="AE23">INDEX('Talnagögn | Numerical Data'!$1:$1048576,_xlfn.XMATCH($A23,'Talnagögn | Numerical Data'!$B:$B),_xlfn.XMATCH($A$1,'Talnagögn | Numerical Data'!$1:$1))/INDEX('Talnagögn | Numerical Data'!$1:$1048576,_xlfn.XMATCH($A23,'Talnagögn | Numerical Data'!$B:$B),_xlfn.XMATCH($B$2,'Talnagögn | Numerical Data'!$1:$1))-1</f>
        <v>-0.29102922902005179</v>
      </c>
      <c r="AF23" s="617" cm="1">
        <f t="array" ref="AF23">INDEX('Talnagögn | Numerical Data'!$1:$1048576,_xlfn.XMATCH($A23,'Talnagögn | Numerical Data'!$B:$B),_xlfn.XMATCH($A$1,'Talnagögn | Numerical Data'!$1:$1))-INDEX('Talnagögn | Numerical Data'!$1:$1048576,_xlfn.XMATCH($A23,'Talnagögn | Numerical Data'!$B:$B),_xlfn.XMATCH($B$1,'Talnagögn | Numerical Data'!$1:$1))</f>
        <v>8.0408555542836382</v>
      </c>
      <c r="AG23" s="380" cm="1">
        <f t="array" ref="AG23">INDEX('Talnagögn | Numerical Data'!$1:$1048576,_xlfn.XMATCH($A23,'Talnagögn | Numerical Data'!$B:$B),_xlfn.XMATCH($A$1,'Talnagögn | Numerical Data'!$1:$1))/INDEX('Talnagögn | Numerical Data'!$1:$1048576,_xlfn.XMATCH($A23,'Talnagögn | Numerical Data'!$B:$B),_xlfn.XMATCH($B$1,'Talnagögn | Numerical Data'!$1:$1))-1</f>
        <v>3.7477586931936813E-2</v>
      </c>
      <c r="AH23" s="115"/>
      <c r="AI23" s="376" t="str">
        <f>'Talnagögn | Numerical Data'!$G$10</f>
        <v>Waste</v>
      </c>
      <c r="AJ23" s="377" cm="1">
        <f t="array" ref="AJ23">INDEX('Talnagögn | Numerical Data'!$1:$1048576,_xlfn.XMATCH($B23,'Talnagögn | Numerical Data'!$C:$C),_xlfn.XMATCH($B$4,'Talnagögn | Numerical Data'!$1:$1))-INDEX('Talnagögn | Numerical Data'!$1:$1048576,_xlfn.XMATCH($A23,'Talnagögn | Numerical Data'!$B:$B),_xlfn.XMATCH($B$2,'Talnagögn | Numerical Data'!$1:$1))</f>
        <v>-155.176977797196</v>
      </c>
      <c r="AK23" s="379" cm="1">
        <f t="array" ref="AK23">INDEX('Talnagögn | Numerical Data'!$1:$1048576,_xlfn.XMATCH($B23,'Talnagögn | Numerical Data'!$C:$C),_xlfn.XMATCH($B$4,'Talnagögn | Numerical Data'!$1:$1))/INDEX('Talnagögn | Numerical Data'!$1:$1048576,_xlfn.XMATCH($A23,'Talnagögn | Numerical Data'!$B:$B),_xlfn.XMATCH($B$2,'Talnagögn | Numerical Data'!$1:$1))-1</f>
        <v>-0.49424952035718994</v>
      </c>
      <c r="AL23" s="377" cm="1">
        <f t="array" ref="AL23">INDEX('Talnagögn | Numerical Data'!$1:$1048576,_xlfn.XMATCH($B23,'Talnagögn | Numerical Data'!$C:$C),_xlfn.XMATCH($B$5,'Talnagögn | Numerical Data'!$1:$1))-INDEX('Talnagögn | Numerical Data'!$1:$1048576,_xlfn.XMATCH($A23,'Talnagögn | Numerical Data'!$B:$B),_xlfn.XMATCH($B$1,'Talnagögn | Numerical Data'!$1:$1))</f>
        <v>-138.78264021664998</v>
      </c>
      <c r="AM23" s="380" cm="1">
        <f t="array" ref="AM23">INDEX('Talnagögn | Numerical Data'!$1:$1048576,_xlfn.XMATCH($B23,'Talnagögn | Numerical Data'!$C:$C),_xlfn.XMATCH($B$5,'Talnagögn | Numerical Data'!$1:$1))/INDEX('Talnagögn | Numerical Data'!$1:$1048576,_xlfn.XMATCH($A23,'Talnagögn | Numerical Data'!$B:$B),_xlfn.XMATCH($B$1,'Talnagögn | Numerical Data'!$1:$1))-1</f>
        <v>-0.64685137399245307</v>
      </c>
      <c r="AN23" s="5"/>
      <c r="AO23" s="5"/>
      <c r="AP23" s="5"/>
      <c r="AQ23" s="5"/>
      <c r="AR23" s="5"/>
      <c r="AS23" s="5"/>
    </row>
    <row r="24" spans="1:45" ht="33.6" x14ac:dyDescent="0.4">
      <c r="A24" s="2" t="s">
        <v>45</v>
      </c>
      <c r="B24" s="2" t="s">
        <v>227</v>
      </c>
      <c r="C24" s="2" t="s">
        <v>234</v>
      </c>
      <c r="D24" s="131" t="s">
        <v>44</v>
      </c>
      <c r="E24" s="381" t="s">
        <v>180</v>
      </c>
      <c r="F24" s="382" cm="1">
        <f t="array" ref="F24">INDEX('Talnagögn | Numerical Data'!$1:$1048576,_xlfn.XMATCH($A24,'Talnagögn | Numerical Data'!$B:$B),_xlfn.XMATCH($A$1,'Talnagögn | Numerical Data'!$1:$1))</f>
        <v>4489.4149268075043</v>
      </c>
      <c r="G24" s="383">
        <f>$F24/$F$24</f>
        <v>1</v>
      </c>
      <c r="H24" s="382" cm="1">
        <f t="array" ref="H24">INDEX('Talnagögn | Numerical Data'!$1:$1048576,_xlfn.XMATCH($A24,'Talnagögn | Numerical Data'!$B:$B),_xlfn.XMATCH($A$1,'Talnagögn | Numerical Data'!$1:$1))-INDEX('Talnagögn | Numerical Data'!$1:$1048576,_xlfn.XMATCH($A24,'Talnagögn | Numerical Data'!$B:$B),_xlfn.XMATCH($B$3,'Talnagögn | Numerical Data'!$1:$1))</f>
        <v>-292.67955778437681</v>
      </c>
      <c r="I24" s="384" cm="1">
        <f t="array" ref="I24">INDEX('Talnagögn | Numerical Data'!$1:$1048576,_xlfn.XMATCH($A24,'Talnagögn | Numerical Data'!$B:$B),_xlfn.XMATCH($A$1,'Talnagögn | Numerical Data'!$1:$1))/INDEX('Talnagögn | Numerical Data'!$1:$1048576,_xlfn.XMATCH($A24,'Talnagögn | Numerical Data'!$B:$B),_xlfn.XMATCH($B$3,'Talnagögn | Numerical Data'!$1:$1))-1</f>
        <v>-6.1203215186860782E-2</v>
      </c>
      <c r="J24" s="382" cm="1">
        <f t="array" ref="J24">INDEX('Talnagögn | Numerical Data'!$1:$1048576,_xlfn.XMATCH($A24,'Talnagögn | Numerical Data'!$B:$B),_xlfn.XMATCH($A$1,'Talnagögn | Numerical Data'!$1:$1))-INDEX('Talnagögn | Numerical Data'!$1:$1048576,_xlfn.XMATCH($A24,'Talnagögn | Numerical Data'!$B:$B),_xlfn.XMATCH($B$2,'Talnagögn | Numerical Data'!$1:$1))</f>
        <v>381.92827041864712</v>
      </c>
      <c r="K24" s="386" cm="1">
        <f t="array" ref="K24">INDEX('Talnagögn | Numerical Data'!$1:$1048576,_xlfn.XMATCH($A24,'Talnagögn | Numerical Data'!$B:$B),_xlfn.XMATCH($A$1,'Talnagögn | Numerical Data'!$1:$1))/INDEX('Talnagögn | Numerical Data'!$1:$1048576,_xlfn.XMATCH($A24,'Talnagögn | Numerical Data'!$B:$B),_xlfn.XMATCH($B$2,'Talnagögn | Numerical Data'!$1:$1))-1</f>
        <v>9.298344763325983E-2</v>
      </c>
      <c r="L24" s="382" cm="1">
        <f t="array" ref="L24">INDEX('Talnagögn | Numerical Data'!$1:$1048576,_xlfn.XMATCH($A24,'Talnagögn | Numerical Data'!$B:$B),_xlfn.XMATCH($A$1,'Talnagögn | Numerical Data'!$1:$1))-INDEX('Talnagögn | Numerical Data'!$1:$1048576,_xlfn.XMATCH($A24,'Talnagögn | Numerical Data'!$B:$B),_xlfn.XMATCH($B$1,'Talnagögn | Numerical Data'!$1:$1))</f>
        <v>810.35162283860382</v>
      </c>
      <c r="M24" s="388" cm="1">
        <f t="array" ref="M24">INDEX('Talnagögn | Numerical Data'!$1:$1048576,_xlfn.XMATCH($A24,'Talnagögn | Numerical Data'!$B:$B),_xlfn.XMATCH($A$1,'Talnagögn | Numerical Data'!$1:$1))/INDEX('Talnagögn | Numerical Data'!$1:$1048576,_xlfn.XMATCH($A24,'Talnagögn | Numerical Data'!$B:$B),_xlfn.XMATCH($B$1,'Talnagögn | Numerical Data'!$1:$1))-1</f>
        <v>0.22026030972731903</v>
      </c>
      <c r="N24" s="115"/>
      <c r="O24" s="381" t="s">
        <v>180</v>
      </c>
      <c r="P24" s="382" cm="1">
        <f t="array" ref="P24">INDEX('Talnagögn | Numerical Data'!$1:$1048576,_xlfn.XMATCH($B24,'Talnagögn | Numerical Data'!$C:$C),_xlfn.XMATCH($B$4,'Talnagögn | Numerical Data'!$1:$1))-INDEX('Talnagögn | Numerical Data'!$1:$1048576,_xlfn.XMATCH($A24,'Talnagögn | Numerical Data'!$B:$B),_xlfn.XMATCH($B$2,'Talnagögn | Numerical Data'!$1:$1))</f>
        <v>287.27479338417288</v>
      </c>
      <c r="Q24" s="384" cm="1">
        <f t="array" ref="Q24">INDEX('Talnagögn | Numerical Data'!$1:$1048576,_xlfn.XMATCH($B24,'Talnagögn | Numerical Data'!$C:$C),_xlfn.XMATCH($B$4,'Talnagögn | Numerical Data'!$1:$1))/INDEX('Talnagögn | Numerical Data'!$1:$1048576,_xlfn.XMATCH($A24,'Talnagögn | Numerical Data'!$B:$B),_xlfn.XMATCH($B$2,'Talnagögn | Numerical Data'!$1:$1))-1</f>
        <v>6.9939312629863526E-2</v>
      </c>
      <c r="R24" s="382" cm="1">
        <f t="array" ref="R24">INDEX('Talnagögn | Numerical Data'!$1:$1048576,_xlfn.XMATCH($B24,'Talnagögn | Numerical Data'!$C:$C),_xlfn.XMATCH($B$5,'Talnagögn | Numerical Data'!$1:$1))-INDEX('Talnagögn | Numerical Data'!$1:$1048576,_xlfn.XMATCH($A24,'Talnagögn | Numerical Data'!$B:$B),_xlfn.XMATCH($B$1,'Talnagögn | Numerical Data'!$1:$1))</f>
        <v>-618.11390242107746</v>
      </c>
      <c r="S24" s="682" cm="1">
        <f t="array" ref="S24">INDEX('Talnagögn | Numerical Data'!$1:$1048576,_xlfn.XMATCH($B24,'Talnagögn | Numerical Data'!$C:$C),_xlfn.XMATCH($B$5,'Talnagögn | Numerical Data'!$1:$1))/INDEX('Talnagögn | Numerical Data'!$1:$1048576,_xlfn.XMATCH($A24,'Talnagögn | Numerical Data'!$B:$B),_xlfn.XMATCH($B$1,'Talnagögn | Numerical Data'!$1:$1))-1</f>
        <v>-0.16800849872690926</v>
      </c>
      <c r="T24" s="5"/>
      <c r="U24" s="5"/>
      <c r="V24" s="162"/>
      <c r="Y24" s="381" t="s">
        <v>154</v>
      </c>
      <c r="Z24" s="382" cm="1">
        <f t="array" ref="Z24">INDEX('Talnagögn | Numerical Data'!$1:$1048576,_xlfn.XMATCH($A24,'Talnagögn | Numerical Data'!$B:$B),_xlfn.XMATCH($A$1,'Talnagögn | Numerical Data'!$1:$1))</f>
        <v>4489.4149268075043</v>
      </c>
      <c r="AA24" s="383">
        <f>$F24/$F$24</f>
        <v>1</v>
      </c>
      <c r="AB24" s="382" cm="1">
        <f t="array" ref="AB24">INDEX('Talnagögn | Numerical Data'!$1:$1048576,_xlfn.XMATCH($A24,'Talnagögn | Numerical Data'!$B:$B),_xlfn.XMATCH($A$1,'Talnagögn | Numerical Data'!$1:$1))-INDEX('Talnagögn | Numerical Data'!$1:$1048576,_xlfn.XMATCH($A24,'Talnagögn | Numerical Data'!$B:$B),_xlfn.XMATCH($B$3,'Talnagögn | Numerical Data'!$1:$1))</f>
        <v>-292.67955778437681</v>
      </c>
      <c r="AC24" s="384" cm="1">
        <f t="array" ref="AC24">INDEX('Talnagögn | Numerical Data'!$1:$1048576,_xlfn.XMATCH($A24,'Talnagögn | Numerical Data'!$B:$B),_xlfn.XMATCH($A$1,'Talnagögn | Numerical Data'!$1:$1))/INDEX('Talnagögn | Numerical Data'!$1:$1048576,_xlfn.XMATCH($A24,'Talnagögn | Numerical Data'!$B:$B),_xlfn.XMATCH($B$3,'Talnagögn | Numerical Data'!$1:$1))-1</f>
        <v>-6.1203215186860782E-2</v>
      </c>
      <c r="AD24" s="382" cm="1">
        <f t="array" ref="AD24">INDEX('Talnagögn | Numerical Data'!$1:$1048576,_xlfn.XMATCH($A24,'Talnagögn | Numerical Data'!$B:$B),_xlfn.XMATCH($A$1,'Talnagögn | Numerical Data'!$1:$1))-INDEX('Talnagögn | Numerical Data'!$1:$1048576,_xlfn.XMATCH($A24,'Talnagögn | Numerical Data'!$B:$B),_xlfn.XMATCH($B$2,'Talnagögn | Numerical Data'!$1:$1))</f>
        <v>381.92827041864712</v>
      </c>
      <c r="AE24" s="386" cm="1">
        <f t="array" ref="AE24">INDEX('Talnagögn | Numerical Data'!$1:$1048576,_xlfn.XMATCH($A24,'Talnagögn | Numerical Data'!$B:$B),_xlfn.XMATCH($A$1,'Talnagögn | Numerical Data'!$1:$1))/INDEX('Talnagögn | Numerical Data'!$1:$1048576,_xlfn.XMATCH($A24,'Talnagögn | Numerical Data'!$B:$B),_xlfn.XMATCH($B$2,'Talnagögn | Numerical Data'!$1:$1))-1</f>
        <v>9.298344763325983E-2</v>
      </c>
      <c r="AF24" s="382" cm="1">
        <f t="array" ref="AF24">INDEX('Talnagögn | Numerical Data'!$1:$1048576,_xlfn.XMATCH($A24,'Talnagögn | Numerical Data'!$B:$B),_xlfn.XMATCH($A$1,'Talnagögn | Numerical Data'!$1:$1))-INDEX('Talnagögn | Numerical Data'!$1:$1048576,_xlfn.XMATCH($A24,'Talnagögn | Numerical Data'!$B:$B),_xlfn.XMATCH($B$1,'Talnagögn | Numerical Data'!$1:$1))</f>
        <v>810.35162283860382</v>
      </c>
      <c r="AG24" s="388" cm="1">
        <f t="array" ref="AG24">INDEX('Talnagögn | Numerical Data'!$1:$1048576,_xlfn.XMATCH($A24,'Talnagögn | Numerical Data'!$B:$B),_xlfn.XMATCH($A$1,'Talnagögn | Numerical Data'!$1:$1))/INDEX('Talnagögn | Numerical Data'!$1:$1048576,_xlfn.XMATCH($A24,'Talnagögn | Numerical Data'!$B:$B),_xlfn.XMATCH($B$1,'Talnagögn | Numerical Data'!$1:$1))-1</f>
        <v>0.22026030972731903</v>
      </c>
      <c r="AH24" s="115"/>
      <c r="AI24" s="381" t="s">
        <v>154</v>
      </c>
      <c r="AJ24" s="382" cm="1">
        <f t="array" ref="AJ24">INDEX('Talnagögn | Numerical Data'!$1:$1048576,_xlfn.XMATCH($B24,'Talnagögn | Numerical Data'!$C:$C),_xlfn.XMATCH($B$4,'Talnagögn | Numerical Data'!$1:$1))-INDEX('Talnagögn | Numerical Data'!$1:$1048576,_xlfn.XMATCH($A24,'Talnagögn | Numerical Data'!$B:$B),_xlfn.XMATCH($B$2,'Talnagögn | Numerical Data'!$1:$1))</f>
        <v>287.27479338417288</v>
      </c>
      <c r="AK24" s="384" cm="1">
        <f t="array" ref="AK24">INDEX('Talnagögn | Numerical Data'!$1:$1048576,_xlfn.XMATCH($B24,'Talnagögn | Numerical Data'!$C:$C),_xlfn.XMATCH($B$4,'Talnagögn | Numerical Data'!$1:$1))/INDEX('Talnagögn | Numerical Data'!$1:$1048576,_xlfn.XMATCH($A24,'Talnagögn | Numerical Data'!$B:$B),_xlfn.XMATCH($B$2,'Talnagögn | Numerical Data'!$1:$1))-1</f>
        <v>6.9939312629863526E-2</v>
      </c>
      <c r="AL24" s="382" cm="1">
        <f t="array" ref="AL24">INDEX('Talnagögn | Numerical Data'!$1:$1048576,_xlfn.XMATCH($B24,'Talnagögn | Numerical Data'!$C:$C),_xlfn.XMATCH($B$5,'Talnagögn | Numerical Data'!$1:$1))-INDEX('Talnagögn | Numerical Data'!$1:$1048576,_xlfn.XMATCH($A24,'Talnagögn | Numerical Data'!$B:$B),_xlfn.XMATCH($B$1,'Talnagögn | Numerical Data'!$1:$1))</f>
        <v>-618.11390242107746</v>
      </c>
      <c r="AM24" s="682" cm="1">
        <f t="array" ref="AM24">INDEX('Talnagögn | Numerical Data'!$1:$1048576,_xlfn.XMATCH($B24,'Talnagögn | Numerical Data'!$C:$C),_xlfn.XMATCH($B$5,'Talnagögn | Numerical Data'!$1:$1))/INDEX('Talnagögn | Numerical Data'!$1:$1048576,_xlfn.XMATCH($A24,'Talnagögn | Numerical Data'!$B:$B),_xlfn.XMATCH($B$1,'Talnagögn | Numerical Data'!$1:$1))-1</f>
        <v>-0.16800849872690926</v>
      </c>
      <c r="AN24" s="5"/>
      <c r="AO24" s="5"/>
      <c r="AP24" s="5"/>
      <c r="AQ24" s="5"/>
      <c r="AR24" s="5"/>
      <c r="AS24" s="5"/>
    </row>
    <row r="25" spans="1:45" s="21" customFormat="1" ht="13.5" customHeight="1" x14ac:dyDescent="0.4">
      <c r="A25" s="165"/>
      <c r="B25" s="648"/>
      <c r="C25" s="648"/>
      <c r="D25" s="131" t="s">
        <v>44</v>
      </c>
      <c r="E25" s="132"/>
      <c r="F25" s="115"/>
      <c r="G25" s="115"/>
      <c r="H25" s="115"/>
      <c r="I25" s="115"/>
      <c r="J25" s="115"/>
      <c r="K25" s="115"/>
      <c r="L25" s="115"/>
      <c r="M25" s="115"/>
      <c r="N25" s="115"/>
      <c r="O25" s="115"/>
      <c r="P25" s="115"/>
      <c r="Q25" s="115"/>
      <c r="R25" s="409"/>
      <c r="S25" s="396"/>
      <c r="T25" s="396"/>
      <c r="U25" s="396"/>
      <c r="V25" s="410"/>
      <c r="Z25" s="178"/>
      <c r="AA25" s="178"/>
      <c r="AB25" s="178"/>
      <c r="AC25" s="178"/>
      <c r="AD25" s="178"/>
      <c r="AE25" s="178"/>
      <c r="AF25" s="178"/>
      <c r="AG25" s="178"/>
      <c r="AH25" s="178"/>
      <c r="AI25" s="178"/>
      <c r="AJ25" s="178"/>
      <c r="AK25" s="178"/>
      <c r="AL25" s="178"/>
      <c r="AM25" s="178"/>
    </row>
    <row r="26" spans="1:45" s="21" customFormat="1" ht="13.5" customHeight="1" x14ac:dyDescent="0.4">
      <c r="A26" s="632" t="str">
        <f>"Losun Íslands "&amp;$A$1</f>
        <v>Losun Íslands 2025</v>
      </c>
      <c r="B26" s="632" t="str">
        <f>"Iceland's Emissions in "&amp;$A$1</f>
        <v>Iceland's Emissions in 2025</v>
      </c>
      <c r="C26" s="648" t="s">
        <v>44</v>
      </c>
      <c r="D26" s="131" t="s">
        <v>44</v>
      </c>
      <c r="E26" s="5"/>
      <c r="F26" s="127"/>
      <c r="G26" s="127"/>
      <c r="H26" s="127"/>
      <c r="I26" s="127"/>
      <c r="J26" s="127"/>
      <c r="K26" s="127"/>
      <c r="L26" s="127"/>
      <c r="M26" s="127"/>
      <c r="N26" s="127"/>
      <c r="O26" s="127"/>
      <c r="P26" s="127"/>
      <c r="Q26" s="127"/>
      <c r="R26" s="127"/>
      <c r="S26" s="127"/>
      <c r="T26" s="127"/>
      <c r="U26" s="127"/>
      <c r="V26" s="162"/>
      <c r="Z26" s="178"/>
      <c r="AA26" s="178"/>
      <c r="AB26" s="178"/>
      <c r="AC26" s="178"/>
      <c r="AD26" s="178"/>
      <c r="AE26" s="178"/>
      <c r="AF26" s="178"/>
      <c r="AG26" s="178"/>
      <c r="AH26" s="178"/>
      <c r="AI26" s="178"/>
      <c r="AJ26" s="178"/>
      <c r="AK26" s="178"/>
      <c r="AL26" s="178"/>
      <c r="AM26" s="178"/>
      <c r="AN26" s="178"/>
      <c r="AO26" s="178"/>
      <c r="AP26" s="178"/>
      <c r="AQ26" s="178"/>
      <c r="AR26" s="178"/>
      <c r="AS26" s="178"/>
    </row>
    <row r="27" spans="1:45" ht="15" customHeight="1" x14ac:dyDescent="0.4">
      <c r="B27" s="648"/>
      <c r="C27" s="648"/>
      <c r="D27" s="131" t="s">
        <v>44</v>
      </c>
      <c r="V27" s="162"/>
    </row>
    <row r="28" spans="1:45" ht="15" customHeight="1" x14ac:dyDescent="0.4">
      <c r="B28" s="648"/>
      <c r="C28" s="648"/>
      <c r="D28" s="131" t="s">
        <v>44</v>
      </c>
      <c r="V28" s="162"/>
    </row>
    <row r="29" spans="1:45" ht="15" customHeight="1" x14ac:dyDescent="0.4">
      <c r="B29" s="648"/>
      <c r="C29" s="648"/>
      <c r="D29" s="131" t="s">
        <v>44</v>
      </c>
      <c r="V29" s="162"/>
    </row>
    <row r="30" spans="1:45" x14ac:dyDescent="0.4">
      <c r="B30" s="648"/>
      <c r="C30" s="648"/>
      <c r="D30" s="131" t="s">
        <v>44</v>
      </c>
      <c r="V30" s="162"/>
    </row>
    <row r="31" spans="1:45" x14ac:dyDescent="0.4">
      <c r="B31" s="648"/>
      <c r="C31" s="648"/>
      <c r="D31" s="131" t="s">
        <v>44</v>
      </c>
      <c r="V31" s="162"/>
    </row>
    <row r="32" spans="1:45" x14ac:dyDescent="0.4">
      <c r="B32" s="648"/>
      <c r="C32" s="648"/>
      <c r="D32" s="131" t="s">
        <v>44</v>
      </c>
      <c r="V32" s="162"/>
    </row>
    <row r="33" spans="2:22" x14ac:dyDescent="0.4">
      <c r="B33" s="645" t="s">
        <v>44</v>
      </c>
      <c r="D33" s="131" t="s">
        <v>44</v>
      </c>
      <c r="V33" s="162"/>
    </row>
    <row r="34" spans="2:22" ht="15" customHeight="1" x14ac:dyDescent="0.4">
      <c r="B34" s="645" t="s">
        <v>44</v>
      </c>
      <c r="D34" s="131" t="s">
        <v>44</v>
      </c>
      <c r="V34" s="162"/>
    </row>
    <row r="35" spans="2:22" ht="15" customHeight="1" x14ac:dyDescent="0.4">
      <c r="B35" s="645" t="s">
        <v>44</v>
      </c>
      <c r="D35" s="131" t="s">
        <v>44</v>
      </c>
      <c r="V35" s="162"/>
    </row>
    <row r="36" spans="2:22" ht="15" customHeight="1" x14ac:dyDescent="0.4">
      <c r="B36" s="645" t="s">
        <v>44</v>
      </c>
      <c r="D36" s="131" t="s">
        <v>44</v>
      </c>
      <c r="V36" s="162"/>
    </row>
    <row r="37" spans="2:22" x14ac:dyDescent="0.4">
      <c r="D37" s="131" t="s">
        <v>44</v>
      </c>
      <c r="V37" s="162"/>
    </row>
    <row r="38" spans="2:22" x14ac:dyDescent="0.4">
      <c r="D38" s="131" t="s">
        <v>44</v>
      </c>
      <c r="V38" s="162"/>
    </row>
    <row r="39" spans="2:22" x14ac:dyDescent="0.4">
      <c r="D39" s="131" t="s">
        <v>44</v>
      </c>
      <c r="V39" s="162"/>
    </row>
    <row r="40" spans="2:22" x14ac:dyDescent="0.4">
      <c r="D40" s="131" t="s">
        <v>44</v>
      </c>
      <c r="V40" s="162"/>
    </row>
    <row r="41" spans="2:22" x14ac:dyDescent="0.4">
      <c r="D41" s="131" t="s">
        <v>44</v>
      </c>
      <c r="V41" s="162"/>
    </row>
    <row r="42" spans="2:22" x14ac:dyDescent="0.4">
      <c r="D42" s="131" t="s">
        <v>44</v>
      </c>
      <c r="V42" s="162"/>
    </row>
    <row r="43" spans="2:22" x14ac:dyDescent="0.4">
      <c r="D43" s="131" t="s">
        <v>44</v>
      </c>
      <c r="V43" s="162"/>
    </row>
    <row r="44" spans="2:22" x14ac:dyDescent="0.4">
      <c r="D44" s="131" t="s">
        <v>44</v>
      </c>
      <c r="V44" s="162"/>
    </row>
    <row r="45" spans="2:22" x14ac:dyDescent="0.4">
      <c r="D45" s="131" t="s">
        <v>44</v>
      </c>
      <c r="V45" s="162"/>
    </row>
    <row r="46" spans="2:22" x14ac:dyDescent="0.4">
      <c r="D46" s="131" t="s">
        <v>44</v>
      </c>
      <c r="V46" s="162"/>
    </row>
    <row r="47" spans="2:22" x14ac:dyDescent="0.4">
      <c r="D47" s="131" t="s">
        <v>44</v>
      </c>
      <c r="V47" s="162"/>
    </row>
    <row r="48" spans="2:22" x14ac:dyDescent="0.4">
      <c r="D48" s="131" t="s">
        <v>44</v>
      </c>
      <c r="V48" s="162"/>
    </row>
    <row r="49" spans="1:45" s="393" customFormat="1" ht="27" customHeight="1" x14ac:dyDescent="0.4">
      <c r="A49" s="649"/>
      <c r="B49" s="649"/>
      <c r="C49" s="649"/>
      <c r="E49" s="723" t="str">
        <f>UPPER('Talnagögn | Numerical Data'!$E$5)</f>
        <v>SÖGULEG LOSUN</v>
      </c>
      <c r="F49" s="394"/>
      <c r="G49" s="394"/>
      <c r="H49" s="394"/>
      <c r="I49" s="394"/>
      <c r="J49" s="394"/>
      <c r="K49" s="394"/>
      <c r="L49" s="394"/>
      <c r="M49" s="394"/>
      <c r="N49" s="394"/>
      <c r="O49" s="394"/>
      <c r="P49" s="394"/>
      <c r="Q49" s="394"/>
      <c r="R49" s="394"/>
      <c r="S49" s="394"/>
      <c r="T49" s="394"/>
      <c r="U49" s="394"/>
      <c r="V49" s="412"/>
      <c r="Y49" s="723" t="str">
        <f>UPPER('Talnagögn | Numerical Data'!$G$5)</f>
        <v>HISTORICAL EMISSIONS</v>
      </c>
      <c r="Z49" s="394"/>
      <c r="AA49" s="394"/>
      <c r="AB49" s="394"/>
      <c r="AC49" s="394"/>
      <c r="AD49" s="394"/>
      <c r="AE49" s="394"/>
      <c r="AF49" s="394"/>
      <c r="AG49" s="394"/>
      <c r="AH49" s="394"/>
      <c r="AI49" s="394"/>
      <c r="AJ49" s="394"/>
      <c r="AK49" s="394"/>
      <c r="AL49" s="394"/>
      <c r="AM49" s="394"/>
      <c r="AN49" s="394"/>
      <c r="AO49" s="394"/>
      <c r="AP49" s="394"/>
      <c r="AQ49" s="394"/>
      <c r="AR49" s="394"/>
      <c r="AS49" s="394"/>
    </row>
    <row r="50" spans="1:45" x14ac:dyDescent="0.4">
      <c r="D50" s="131" t="s">
        <v>44</v>
      </c>
      <c r="V50" s="162"/>
    </row>
    <row r="51" spans="1:45" x14ac:dyDescent="0.4">
      <c r="D51" s="131"/>
      <c r="V51" s="162"/>
    </row>
    <row r="52" spans="1:45" ht="24.6" x14ac:dyDescent="0.4">
      <c r="D52" s="131" t="s">
        <v>44</v>
      </c>
      <c r="E52" s="133"/>
      <c r="V52" s="162"/>
      <c r="Y52" s="134"/>
    </row>
    <row r="53" spans="1:45" x14ac:dyDescent="0.4">
      <c r="D53" s="131" t="s">
        <v>44</v>
      </c>
      <c r="V53" s="162"/>
    </row>
    <row r="54" spans="1:45" x14ac:dyDescent="0.4">
      <c r="D54" s="131" t="s">
        <v>44</v>
      </c>
      <c r="V54" s="162"/>
    </row>
    <row r="55" spans="1:45" x14ac:dyDescent="0.4">
      <c r="D55" s="131" t="s">
        <v>44</v>
      </c>
      <c r="V55" s="162"/>
    </row>
    <row r="56" spans="1:45" x14ac:dyDescent="0.4">
      <c r="D56" s="131" t="s">
        <v>44</v>
      </c>
      <c r="V56" s="162"/>
    </row>
    <row r="57" spans="1:45" x14ac:dyDescent="0.4">
      <c r="D57" s="131" t="s">
        <v>44</v>
      </c>
      <c r="V57" s="162"/>
    </row>
    <row r="58" spans="1:45" ht="15" customHeight="1" x14ac:dyDescent="0.4">
      <c r="D58" s="131" t="s">
        <v>44</v>
      </c>
      <c r="V58" s="162"/>
    </row>
    <row r="59" spans="1:45" ht="15" customHeight="1" x14ac:dyDescent="0.4">
      <c r="D59" s="131" t="s">
        <v>44</v>
      </c>
      <c r="V59" s="162"/>
    </row>
    <row r="60" spans="1:45" ht="15" customHeight="1" x14ac:dyDescent="0.4">
      <c r="D60" s="131" t="s">
        <v>44</v>
      </c>
      <c r="V60" s="162"/>
    </row>
    <row r="61" spans="1:45" x14ac:dyDescent="0.4">
      <c r="D61" s="131" t="s">
        <v>44</v>
      </c>
      <c r="V61" s="162"/>
    </row>
    <row r="62" spans="1:45" x14ac:dyDescent="0.4">
      <c r="D62" s="131" t="s">
        <v>44</v>
      </c>
      <c r="V62" s="162"/>
    </row>
    <row r="63" spans="1:45" x14ac:dyDescent="0.4">
      <c r="D63" s="131" t="s">
        <v>44</v>
      </c>
      <c r="V63" s="162"/>
    </row>
    <row r="64" spans="1:45" x14ac:dyDescent="0.4">
      <c r="D64" s="131" t="s">
        <v>44</v>
      </c>
      <c r="V64" s="162"/>
    </row>
    <row r="65" spans="4:22" x14ac:dyDescent="0.4">
      <c r="D65" s="131" t="s">
        <v>44</v>
      </c>
      <c r="V65" s="162"/>
    </row>
    <row r="66" spans="4:22" x14ac:dyDescent="0.4">
      <c r="D66" s="131" t="s">
        <v>44</v>
      </c>
      <c r="V66" s="162"/>
    </row>
    <row r="67" spans="4:22" x14ac:dyDescent="0.4">
      <c r="D67" s="131" t="s">
        <v>44</v>
      </c>
      <c r="V67" s="162"/>
    </row>
    <row r="68" spans="4:22" x14ac:dyDescent="0.4">
      <c r="D68" s="131" t="s">
        <v>44</v>
      </c>
      <c r="V68" s="162"/>
    </row>
    <row r="69" spans="4:22" x14ac:dyDescent="0.4">
      <c r="D69" s="131" t="s">
        <v>44</v>
      </c>
      <c r="V69" s="162"/>
    </row>
    <row r="70" spans="4:22" x14ac:dyDescent="0.4">
      <c r="D70" s="131" t="s">
        <v>44</v>
      </c>
      <c r="V70" s="162"/>
    </row>
    <row r="71" spans="4:22" x14ac:dyDescent="0.4">
      <c r="D71" s="131" t="s">
        <v>44</v>
      </c>
      <c r="V71" s="162"/>
    </row>
    <row r="72" spans="4:22" x14ac:dyDescent="0.4">
      <c r="D72" s="131" t="s">
        <v>44</v>
      </c>
      <c r="V72" s="162"/>
    </row>
    <row r="73" spans="4:22" x14ac:dyDescent="0.4">
      <c r="V73" s="162"/>
    </row>
    <row r="74" spans="4:22" x14ac:dyDescent="0.4">
      <c r="V74" s="162"/>
    </row>
    <row r="75" spans="4:22" x14ac:dyDescent="0.4">
      <c r="V75" s="162"/>
    </row>
    <row r="76" spans="4:22" x14ac:dyDescent="0.4">
      <c r="V76" s="162"/>
    </row>
    <row r="77" spans="4:22" x14ac:dyDescent="0.4">
      <c r="V77" s="162"/>
    </row>
    <row r="78" spans="4:22" x14ac:dyDescent="0.4">
      <c r="V78" s="162"/>
    </row>
    <row r="79" spans="4:22" x14ac:dyDescent="0.4">
      <c r="V79" s="162"/>
    </row>
    <row r="80" spans="4:22" x14ac:dyDescent="0.4">
      <c r="V80" s="162"/>
    </row>
    <row r="81" spans="1:45" x14ac:dyDescent="0.4">
      <c r="V81" s="162"/>
    </row>
    <row r="82" spans="1:45" x14ac:dyDescent="0.4">
      <c r="V82" s="162"/>
    </row>
    <row r="83" spans="1:45" x14ac:dyDescent="0.4">
      <c r="V83" s="162"/>
    </row>
    <row r="84" spans="1:45" x14ac:dyDescent="0.4">
      <c r="V84" s="162"/>
    </row>
    <row r="85" spans="1:45" x14ac:dyDescent="0.4">
      <c r="V85" s="162"/>
    </row>
    <row r="86" spans="1:45" x14ac:dyDescent="0.4">
      <c r="V86" s="162"/>
    </row>
    <row r="87" spans="1:45" x14ac:dyDescent="0.4">
      <c r="V87" s="162"/>
    </row>
    <row r="88" spans="1:45" x14ac:dyDescent="0.4">
      <c r="V88" s="162"/>
    </row>
    <row r="89" spans="1:45" x14ac:dyDescent="0.4">
      <c r="V89" s="162"/>
    </row>
    <row r="90" spans="1:45" x14ac:dyDescent="0.4">
      <c r="V90" s="162"/>
    </row>
    <row r="91" spans="1:45" x14ac:dyDescent="0.4">
      <c r="V91" s="162"/>
    </row>
    <row r="92" spans="1:45" x14ac:dyDescent="0.4">
      <c r="V92" s="162"/>
    </row>
    <row r="93" spans="1:45" x14ac:dyDescent="0.4">
      <c r="V93" s="162"/>
    </row>
    <row r="94" spans="1:45" x14ac:dyDescent="0.4">
      <c r="V94" s="162"/>
    </row>
    <row r="95" spans="1:45" s="723" customFormat="1" ht="27" customHeight="1" x14ac:dyDescent="0.4">
      <c r="A95" s="730"/>
      <c r="B95" s="730"/>
      <c r="C95" s="730"/>
      <c r="E95" s="723" t="str">
        <f>UPPER('Talnagögn | Numerical Data'!$E$14)</f>
        <v>LOSUNARSPÁ: SVIÐSMYND BYGGÐ Á AÐGERÐUM STJÓRNVALDA</v>
      </c>
      <c r="F95" s="731"/>
      <c r="G95" s="731"/>
      <c r="H95" s="731"/>
      <c r="I95" s="731"/>
      <c r="J95" s="731"/>
      <c r="K95" s="731"/>
      <c r="L95" s="731"/>
      <c r="M95" s="731"/>
      <c r="N95" s="731"/>
      <c r="O95" s="731"/>
      <c r="P95" s="731"/>
      <c r="Q95" s="731"/>
      <c r="R95" s="731"/>
      <c r="S95" s="731"/>
      <c r="T95" s="731"/>
      <c r="U95" s="731"/>
      <c r="V95" s="732"/>
      <c r="Y95" s="723" t="str">
        <f>UPPER('Talnagögn | Numerical Data'!$G$14)</f>
        <v>EMISSION PROJECTIONS: GOVERNMENT POLICY-BASED SCENARIO</v>
      </c>
      <c r="Z95" s="731"/>
      <c r="AA95" s="731"/>
      <c r="AB95" s="731"/>
      <c r="AC95" s="731"/>
      <c r="AD95" s="731"/>
      <c r="AE95" s="731"/>
      <c r="AF95" s="731"/>
      <c r="AG95" s="731"/>
      <c r="AH95" s="731"/>
      <c r="AI95" s="731"/>
      <c r="AJ95" s="731"/>
      <c r="AK95" s="731"/>
      <c r="AL95" s="731"/>
      <c r="AM95" s="731"/>
      <c r="AN95" s="731"/>
      <c r="AO95" s="731"/>
      <c r="AP95" s="731"/>
      <c r="AQ95" s="731"/>
      <c r="AR95" s="731"/>
      <c r="AS95" s="731"/>
    </row>
    <row r="96" spans="1:45" x14ac:dyDescent="0.4">
      <c r="D96" s="131" t="s">
        <v>44</v>
      </c>
      <c r="V96" s="162"/>
    </row>
    <row r="97" spans="4:22" x14ac:dyDescent="0.4">
      <c r="D97" s="131"/>
      <c r="V97" s="162"/>
    </row>
    <row r="98" spans="4:22" x14ac:dyDescent="0.4">
      <c r="D98" s="131"/>
      <c r="V98" s="162"/>
    </row>
    <row r="99" spans="4:22" x14ac:dyDescent="0.4">
      <c r="D99" s="131"/>
      <c r="V99" s="162"/>
    </row>
    <row r="100" spans="4:22" x14ac:dyDescent="0.4">
      <c r="D100" s="131"/>
      <c r="V100" s="162"/>
    </row>
    <row r="101" spans="4:22" x14ac:dyDescent="0.4">
      <c r="D101" s="131"/>
      <c r="V101" s="162"/>
    </row>
    <row r="102" spans="4:22" x14ac:dyDescent="0.4">
      <c r="D102" s="131"/>
      <c r="V102" s="162"/>
    </row>
    <row r="103" spans="4:22" x14ac:dyDescent="0.4">
      <c r="D103" s="131"/>
      <c r="V103" s="162"/>
    </row>
    <row r="104" spans="4:22" x14ac:dyDescent="0.4">
      <c r="D104" s="131"/>
      <c r="V104" s="162"/>
    </row>
    <row r="105" spans="4:22" x14ac:dyDescent="0.4">
      <c r="D105" s="131"/>
      <c r="V105" s="162"/>
    </row>
    <row r="106" spans="4:22" x14ac:dyDescent="0.4">
      <c r="D106" s="131"/>
      <c r="V106" s="162"/>
    </row>
    <row r="107" spans="4:22" x14ac:dyDescent="0.4">
      <c r="D107" s="131"/>
      <c r="V107" s="162"/>
    </row>
    <row r="108" spans="4:22" x14ac:dyDescent="0.4">
      <c r="D108" s="131"/>
      <c r="V108" s="162"/>
    </row>
    <row r="109" spans="4:22" x14ac:dyDescent="0.4">
      <c r="D109" s="131"/>
      <c r="V109" s="162"/>
    </row>
    <row r="110" spans="4:22" x14ac:dyDescent="0.4">
      <c r="D110" s="131"/>
      <c r="V110" s="162"/>
    </row>
    <row r="111" spans="4:22" x14ac:dyDescent="0.4">
      <c r="D111" s="131"/>
      <c r="V111" s="162"/>
    </row>
    <row r="112" spans="4:22" x14ac:dyDescent="0.4">
      <c r="D112" s="131"/>
      <c r="V112" s="162"/>
    </row>
    <row r="113" spans="4:33" x14ac:dyDescent="0.4">
      <c r="D113" s="131"/>
      <c r="V113" s="162"/>
    </row>
    <row r="114" spans="4:33" x14ac:dyDescent="0.4">
      <c r="D114" s="131"/>
      <c r="V114" s="162"/>
    </row>
    <row r="115" spans="4:33" x14ac:dyDescent="0.4">
      <c r="D115" s="131"/>
      <c r="V115" s="162"/>
    </row>
    <row r="116" spans="4:33" x14ac:dyDescent="0.4">
      <c r="D116" s="131"/>
      <c r="V116" s="162"/>
    </row>
    <row r="117" spans="4:33" x14ac:dyDescent="0.4">
      <c r="V117" s="162"/>
      <c r="AG117" s="397"/>
    </row>
    <row r="118" spans="4:33" x14ac:dyDescent="0.4">
      <c r="V118" s="162"/>
      <c r="Y118" s="905"/>
    </row>
    <row r="119" spans="4:33" x14ac:dyDescent="0.4">
      <c r="V119" s="162"/>
    </row>
    <row r="120" spans="4:33" x14ac:dyDescent="0.4">
      <c r="V120" s="162"/>
    </row>
    <row r="121" spans="4:33" x14ac:dyDescent="0.4">
      <c r="V121" s="162"/>
    </row>
    <row r="122" spans="4:33" x14ac:dyDescent="0.4">
      <c r="V122" s="162"/>
    </row>
    <row r="123" spans="4:33" x14ac:dyDescent="0.4">
      <c r="V123" s="162"/>
    </row>
    <row r="124" spans="4:33" x14ac:dyDescent="0.4">
      <c r="V124" s="162"/>
    </row>
    <row r="125" spans="4:33" x14ac:dyDescent="0.4">
      <c r="V125" s="162"/>
    </row>
    <row r="126" spans="4:33" x14ac:dyDescent="0.4">
      <c r="V126" s="162"/>
    </row>
    <row r="127" spans="4:33" x14ac:dyDescent="0.4">
      <c r="V127" s="162"/>
    </row>
    <row r="128" spans="4:33" x14ac:dyDescent="0.4">
      <c r="V128" s="162"/>
    </row>
    <row r="129" spans="1:45" x14ac:dyDescent="0.4">
      <c r="V129" s="162"/>
    </row>
    <row r="130" spans="1:45" x14ac:dyDescent="0.4">
      <c r="V130" s="162"/>
    </row>
    <row r="131" spans="1:45" x14ac:dyDescent="0.4">
      <c r="V131" s="162"/>
    </row>
    <row r="132" spans="1:45" x14ac:dyDescent="0.4">
      <c r="V132" s="162"/>
    </row>
    <row r="133" spans="1:45" x14ac:dyDescent="0.4">
      <c r="V133" s="162"/>
    </row>
    <row r="134" spans="1:45" x14ac:dyDescent="0.4">
      <c r="V134" s="162"/>
    </row>
    <row r="135" spans="1:45" x14ac:dyDescent="0.4">
      <c r="V135" s="162"/>
    </row>
    <row r="136" spans="1:45" x14ac:dyDescent="0.4">
      <c r="V136" s="162"/>
    </row>
    <row r="137" spans="1:45" x14ac:dyDescent="0.4">
      <c r="V137" s="162"/>
    </row>
    <row r="138" spans="1:45" x14ac:dyDescent="0.4">
      <c r="V138" s="162"/>
    </row>
    <row r="139" spans="1:45" x14ac:dyDescent="0.4">
      <c r="V139" s="162"/>
    </row>
    <row r="140" spans="1:45" x14ac:dyDescent="0.4">
      <c r="V140" s="162"/>
    </row>
    <row r="141" spans="1:45" x14ac:dyDescent="0.4">
      <c r="V141" s="162"/>
    </row>
    <row r="142" spans="1:45" s="343" customFormat="1" ht="45.75" customHeight="1" x14ac:dyDescent="0.85">
      <c r="A142" s="651"/>
      <c r="B142" s="651"/>
      <c r="C142" s="651"/>
      <c r="D142" s="390"/>
      <c r="E142" s="662" t="s">
        <v>370</v>
      </c>
      <c r="F142" s="391"/>
      <c r="G142" s="391"/>
      <c r="H142" s="392"/>
      <c r="I142" s="391"/>
      <c r="J142" s="391"/>
      <c r="K142" s="391"/>
      <c r="L142" s="391"/>
      <c r="M142" s="391"/>
      <c r="N142" s="391"/>
      <c r="O142" s="391"/>
      <c r="P142" s="391"/>
      <c r="Q142" s="391"/>
      <c r="R142" s="391"/>
      <c r="S142" s="391"/>
      <c r="T142" s="391"/>
      <c r="U142" s="391"/>
      <c r="V142" s="413"/>
      <c r="W142" s="390"/>
      <c r="X142" s="390"/>
      <c r="Y142" s="343" t="s">
        <v>372</v>
      </c>
      <c r="Z142" s="361"/>
      <c r="AA142" s="361"/>
      <c r="AB142" s="361"/>
      <c r="AC142" s="361"/>
      <c r="AD142" s="361"/>
      <c r="AE142" s="361"/>
      <c r="AF142" s="361"/>
      <c r="AG142" s="361"/>
      <c r="AH142" s="361"/>
      <c r="AI142" s="361"/>
      <c r="AJ142" s="361"/>
      <c r="AK142" s="361"/>
      <c r="AL142" s="361"/>
      <c r="AM142" s="361"/>
      <c r="AN142" s="361"/>
      <c r="AO142" s="361"/>
      <c r="AP142" s="361"/>
      <c r="AQ142" s="361"/>
      <c r="AR142" s="361"/>
      <c r="AS142" s="361"/>
    </row>
    <row r="143" spans="1:45" s="360" customFormat="1" ht="37.5" customHeight="1" x14ac:dyDescent="0.4">
      <c r="A143" s="651"/>
      <c r="B143" s="651"/>
      <c r="C143" s="651"/>
      <c r="D143" s="358"/>
      <c r="E143" s="389" t="s">
        <v>371</v>
      </c>
      <c r="F143" s="362"/>
      <c r="G143" s="362"/>
      <c r="H143" s="364"/>
      <c r="I143" s="362"/>
      <c r="J143" s="362"/>
      <c r="K143" s="362"/>
      <c r="L143" s="362"/>
      <c r="M143" s="362"/>
      <c r="N143" s="362"/>
      <c r="O143" s="362"/>
      <c r="P143" s="362"/>
      <c r="Q143" s="362"/>
      <c r="R143" s="362"/>
      <c r="S143" s="362"/>
      <c r="T143" s="362"/>
      <c r="U143" s="362"/>
      <c r="V143" s="407"/>
      <c r="W143" s="358"/>
      <c r="X143" s="358"/>
      <c r="Y143" s="389" t="s">
        <v>373</v>
      </c>
      <c r="Z143" s="362"/>
      <c r="AA143" s="362"/>
      <c r="AB143" s="362"/>
      <c r="AC143" s="362"/>
      <c r="AD143" s="362"/>
      <c r="AE143" s="362"/>
      <c r="AF143" s="362"/>
      <c r="AG143" s="362"/>
      <c r="AH143" s="362"/>
      <c r="AI143" s="362"/>
      <c r="AJ143" s="359"/>
      <c r="AK143" s="359"/>
      <c r="AL143" s="359"/>
      <c r="AM143" s="359"/>
      <c r="AN143" s="359"/>
      <c r="AO143" s="359"/>
      <c r="AP143" s="359"/>
      <c r="AQ143" s="359"/>
      <c r="AR143" s="359"/>
      <c r="AS143" s="359"/>
    </row>
    <row r="144" spans="1:45" s="21" customFormat="1" ht="13.5" customHeight="1" x14ac:dyDescent="0.4">
      <c r="A144" s="27"/>
      <c r="B144" s="648"/>
      <c r="C144" s="648"/>
      <c r="D144" s="131" t="s">
        <v>44</v>
      </c>
      <c r="E144" s="132"/>
      <c r="F144" s="115"/>
      <c r="G144" s="115"/>
      <c r="H144" s="115"/>
      <c r="I144" s="115"/>
      <c r="J144" s="115"/>
      <c r="K144" s="115"/>
      <c r="L144" s="115"/>
      <c r="M144" s="115"/>
      <c r="N144" s="115"/>
      <c r="O144" s="115"/>
      <c r="P144" s="115"/>
      <c r="Q144" s="115"/>
      <c r="R144" s="115"/>
      <c r="S144" s="115"/>
      <c r="T144" s="115"/>
      <c r="U144" s="115"/>
      <c r="V144" s="414"/>
      <c r="W144" s="120"/>
      <c r="X144" s="120"/>
      <c r="Y144" s="120"/>
      <c r="Z144" s="396"/>
      <c r="AA144" s="396"/>
      <c r="AB144" s="396"/>
      <c r="AC144" s="398"/>
      <c r="AD144" s="178"/>
      <c r="AE144" s="178"/>
      <c r="AF144" s="178"/>
      <c r="AG144" s="178"/>
      <c r="AH144" s="178"/>
      <c r="AI144" s="178"/>
      <c r="AJ144" s="178"/>
      <c r="AK144" s="178"/>
      <c r="AL144" s="178"/>
      <c r="AM144" s="178"/>
      <c r="AN144" s="178"/>
      <c r="AO144" s="178"/>
      <c r="AP144" s="178"/>
      <c r="AQ144" s="178"/>
      <c r="AR144" s="178"/>
      <c r="AS144" s="178"/>
    </row>
    <row r="145" spans="1:45" ht="48" customHeight="1" x14ac:dyDescent="0.4">
      <c r="B145" s="648"/>
      <c r="C145" s="648"/>
      <c r="D145" s="123"/>
      <c r="E145" s="1339" t="str">
        <f>"STAÐAN ÁRIÐ "&amp;$A$1</f>
        <v>STAÐAN ÁRIÐ 2025</v>
      </c>
      <c r="F145" s="405"/>
      <c r="G145" s="404"/>
      <c r="H145" s="404"/>
      <c r="I145" s="404"/>
      <c r="J145" s="404"/>
      <c r="K145" s="404"/>
      <c r="L145" s="404"/>
      <c r="M145" s="404"/>
      <c r="O145" s="1339" t="str">
        <f>$O$5</f>
        <v>FRAMTÍÐARHORFUR</v>
      </c>
      <c r="P145" s="1400" t="str">
        <f>$P$5</f>
        <v>Áætluð breyting í losun út frá
sviðsmynd byggð á aðgerðum stjórvalda</v>
      </c>
      <c r="Q145" s="1401"/>
      <c r="R145" s="1401"/>
      <c r="S145" s="1403"/>
      <c r="T145" s="428"/>
      <c r="U145" s="428"/>
      <c r="V145" s="164"/>
      <c r="Y145" s="1339" t="str">
        <f>$Y$5</f>
        <v>2025 EMISSIONS</v>
      </c>
      <c r="Z145" s="402"/>
      <c r="AA145" s="403"/>
      <c r="AB145" s="403"/>
      <c r="AC145" s="403"/>
      <c r="AD145" s="403"/>
      <c r="AE145" s="403"/>
      <c r="AF145" s="404"/>
      <c r="AG145" s="403"/>
      <c r="AH145" s="115"/>
      <c r="AI145" s="1339" t="str">
        <f>$AI$5</f>
        <v>OUTLOOKS</v>
      </c>
      <c r="AJ145" s="1400" t="str">
        <f>$AJ$5</f>
        <v>Estimated change in emissions based on
government policy-based scenario</v>
      </c>
      <c r="AK145" s="1401"/>
      <c r="AL145" s="1401"/>
      <c r="AM145" s="1401"/>
      <c r="AN145" s="1388"/>
      <c r="AO145" s="1388"/>
      <c r="AP145" s="1388"/>
      <c r="AQ145" s="1388"/>
      <c r="AR145" s="1388"/>
      <c r="AS145" s="1388"/>
    </row>
    <row r="146" spans="1:45" s="21" customFormat="1" ht="17.399999999999999" customHeight="1" x14ac:dyDescent="0.4">
      <c r="A146" s="27"/>
      <c r="B146" s="648"/>
      <c r="C146" s="648"/>
      <c r="D146" s="131" t="s">
        <v>44</v>
      </c>
      <c r="E146" s="1339"/>
      <c r="F146" s="1341" t="str">
        <f>"Losun "&amp;$A$1</f>
        <v>Losun 2025</v>
      </c>
      <c r="G146" s="1342"/>
      <c r="H146" s="1345" t="str">
        <f>"Breyting frá "&amp;$B$3</f>
        <v>Breyting frá 2024</v>
      </c>
      <c r="I146" s="1342"/>
      <c r="J146" s="1345" t="str">
        <f>"Breyting frá "&amp;$B$2</f>
        <v>Breyting frá 2005</v>
      </c>
      <c r="K146" s="1342"/>
      <c r="L146" s="1345" t="str">
        <f>"Breyting frá "&amp;$B$1</f>
        <v>Breyting frá 1990</v>
      </c>
      <c r="M146" s="1402"/>
      <c r="N146" s="127"/>
      <c r="O146" s="1339"/>
      <c r="P146" s="1345" t="s">
        <v>342</v>
      </c>
      <c r="Q146" s="1342"/>
      <c r="R146" s="1345" t="s">
        <v>343</v>
      </c>
      <c r="S146" s="1342"/>
      <c r="T146" s="429"/>
      <c r="U146" s="429"/>
      <c r="V146" s="415"/>
      <c r="Y146" s="1339"/>
      <c r="Z146" s="1341" t="str">
        <f>$Z$6</f>
        <v>Emissions in 2025</v>
      </c>
      <c r="AA146" s="1342"/>
      <c r="AB146" s="1345" t="str">
        <f>$AB$6</f>
        <v>Change from 2024</v>
      </c>
      <c r="AC146" s="1342"/>
      <c r="AD146" s="1345" t="str">
        <f>$AD$6</f>
        <v>Change from 2005</v>
      </c>
      <c r="AE146" s="1342"/>
      <c r="AF146" s="1345" t="str">
        <f>$AF$6</f>
        <v>Change from 1990</v>
      </c>
      <c r="AG146" s="1402"/>
      <c r="AH146" s="115"/>
      <c r="AI146" s="1339"/>
      <c r="AJ146" s="1345" t="str">
        <f>$AJ$6</f>
        <v>2030 compared to 2005</v>
      </c>
      <c r="AK146" s="1342"/>
      <c r="AL146" s="1345" t="str">
        <f>$AL$6</f>
        <v>2055 compared to 1990</v>
      </c>
      <c r="AM146" s="1342"/>
      <c r="AN146" s="1389"/>
      <c r="AO146" s="1389"/>
      <c r="AP146" s="1389"/>
      <c r="AQ146" s="1389"/>
      <c r="AR146" s="1389"/>
      <c r="AS146" s="1389"/>
    </row>
    <row r="147" spans="1:45" s="127" customFormat="1" ht="17.399999999999999" customHeight="1" thickBot="1" x14ac:dyDescent="0.45">
      <c r="A147" s="27"/>
      <c r="B147" s="648"/>
      <c r="C147" s="648"/>
      <c r="D147" s="163" t="s">
        <v>44</v>
      </c>
      <c r="E147" s="1340"/>
      <c r="F147" s="238" t="s">
        <v>333</v>
      </c>
      <c r="G147" s="239" t="s">
        <v>4</v>
      </c>
      <c r="H147" s="238" t="str">
        <f>$F$7</f>
        <v>Þús. tonn CO₂-íg.</v>
      </c>
      <c r="I147" s="239" t="s">
        <v>4</v>
      </c>
      <c r="J147" s="238" t="str">
        <f>$F$7</f>
        <v>Þús. tonn CO₂-íg.</v>
      </c>
      <c r="K147" s="239" t="s">
        <v>4</v>
      </c>
      <c r="L147" s="238" t="str">
        <f>$F$7</f>
        <v>Þús. tonn CO₂-íg.</v>
      </c>
      <c r="M147" s="238" t="s">
        <v>4</v>
      </c>
      <c r="O147" s="1340"/>
      <c r="P147" s="238" t="str">
        <f>$F$7</f>
        <v>Þús. tonn CO₂-íg.</v>
      </c>
      <c r="Q147" s="239" t="s">
        <v>4</v>
      </c>
      <c r="R147" s="238" t="str">
        <f>$F$7</f>
        <v>Þús. tonn CO₂-íg.</v>
      </c>
      <c r="S147" s="238" t="s">
        <v>4</v>
      </c>
      <c r="T147" s="430"/>
      <c r="U147" s="430"/>
      <c r="V147" s="164"/>
      <c r="Y147" s="1340"/>
      <c r="Z147" s="238" t="str">
        <f>$Z$7</f>
        <v>Thousand tons CO₂e</v>
      </c>
      <c r="AA147" s="239" t="s">
        <v>4</v>
      </c>
      <c r="AB147" s="238" t="str">
        <f>$Z$7</f>
        <v>Thousand tons CO₂e</v>
      </c>
      <c r="AC147" s="239" t="s">
        <v>4</v>
      </c>
      <c r="AD147" s="238" t="str">
        <f>$F$7</f>
        <v>Þús. tonn CO₂-íg.</v>
      </c>
      <c r="AE147" s="239" t="s">
        <v>4</v>
      </c>
      <c r="AF147" s="238" t="str">
        <f>$Z$7</f>
        <v>Thousand tons CO₂e</v>
      </c>
      <c r="AG147" s="238" t="s">
        <v>4</v>
      </c>
      <c r="AH147" s="115"/>
      <c r="AI147" s="1340"/>
      <c r="AJ147" s="238" t="str">
        <f>$Z$7</f>
        <v>Thousand tons CO₂e</v>
      </c>
      <c r="AK147" s="239" t="s">
        <v>4</v>
      </c>
      <c r="AL147" s="238" t="str">
        <f>$Z$7</f>
        <v>Thousand tons CO₂e</v>
      </c>
      <c r="AM147" s="238" t="s">
        <v>4</v>
      </c>
      <c r="AN147" s="1390"/>
      <c r="AO147" s="1390"/>
      <c r="AP147" s="431"/>
      <c r="AQ147" s="1390"/>
      <c r="AR147" s="1390"/>
      <c r="AS147" s="431"/>
    </row>
    <row r="148" spans="1:45" s="21" customFormat="1" ht="21" customHeight="1" thickTop="1" x14ac:dyDescent="0.4">
      <c r="A148" s="27" t="s">
        <v>54</v>
      </c>
      <c r="B148" s="27" t="s">
        <v>238</v>
      </c>
      <c r="C148" s="645" t="s">
        <v>244</v>
      </c>
      <c r="D148" s="131" t="s">
        <v>44</v>
      </c>
      <c r="E148" s="375" t="str">
        <f>'Talnagögn | Numerical Data'!$E$31</f>
        <v>Álframleiðsla</v>
      </c>
      <c r="F148" s="290" cm="1">
        <f t="array" ref="F148">INDEX('Talnagögn | Numerical Data'!$1:$1048576, _xlfn.XMATCH($A148,'Talnagögn | Numerical Data'!$B:$B), _xlfn.XMATCH($A$1,'Talnagögn | Numerical Data'!$1:$1))</f>
        <v>1290.3163042728158</v>
      </c>
      <c r="G148" s="371">
        <f t="shared" ref="G148:G156" si="0">F148/$F$156</f>
        <v>0.2874130204735566</v>
      </c>
      <c r="H148" s="290" cm="1">
        <f t="array" ref="H148">INDEX('Talnagögn | Numerical Data'!$1:$1048576, _xlfn.XMATCH($A148,'Talnagögn | Numerical Data'!$B:$B), _xlfn.XMATCH($A$1,'Talnagögn | Numerical Data'!$1:$1))-INDEX('Talnagögn | Numerical Data'!$1:$1048576, _xlfn.XMATCH($A148,'Talnagögn | Numerical Data'!$B:$B), _xlfn.XMATCH($B$3,'Talnagögn | Numerical Data'!$1:$1))</f>
        <v>-70.095350678775731</v>
      </c>
      <c r="I148" s="372" cm="1">
        <f t="array" ref="I148">INDEX('Talnagögn | Numerical Data'!$1:$1048576, _xlfn.XMATCH($A148,'Talnagögn | Numerical Data'!$B:$B), _xlfn.XMATCH($A$1,'Talnagögn | Numerical Data'!$1:$1))/INDEX('Talnagögn | Numerical Data'!$1:$1048576, _xlfn.XMATCH($A148,'Talnagögn | Numerical Data'!$B:$B), _xlfn.XMATCH($B$3,'Talnagögn | Numerical Data'!$1:$1))-1</f>
        <v>-5.152510302572344E-2</v>
      </c>
      <c r="J148" s="290" cm="1">
        <f t="array" ref="J148">INDEX('Talnagögn | Numerical Data'!$1:$1048576, _xlfn.XMATCH($A148,'Talnagögn | Numerical Data'!$B:$B), _xlfn.XMATCH($A$1,'Talnagögn | Numerical Data'!$1:$1))-INDEX('Talnagögn | Numerical Data'!$1:$1048576, _xlfn.XMATCH($A148,'Talnagögn | Numerical Data'!$B:$B), _xlfn.XMATCH($B$2,'Talnagögn | Numerical Data'!$1:$1))</f>
        <v>845.50778810572865</v>
      </c>
      <c r="K148" s="371" cm="1">
        <f t="array" ref="K148">INDEX('Talnagögn | Numerical Data'!$1:$1048576, _xlfn.XMATCH($A148,'Talnagögn | Numerical Data'!$B:$B), _xlfn.XMATCH($A$1,'Talnagögn | Numerical Data'!$1:$1))/INDEX('Talnagögn | Numerical Data'!$1:$1048576, _xlfn.XMATCH($A148,'Talnagögn | Numerical Data'!$B:$B), _xlfn.XMATCH($B$2,'Talnagögn | Numerical Data'!$1:$1))-1</f>
        <v>1.9008354322697447</v>
      </c>
      <c r="L148" s="290" cm="1">
        <f t="array" ref="L148">INDEX('Talnagögn | Numerical Data'!$1:$1048576, _xlfn.XMATCH($A148,'Talnagögn | Numerical Data'!$B:$B), _xlfn.XMATCH($A$1,'Talnagögn | Numerical Data'!$1:$1))-INDEX('Talnagögn | Numerical Data'!$1:$1048576, _xlfn.XMATCH($A148,'Talnagögn | Numerical Data'!$B:$B), _xlfn.XMATCH($B$1,'Talnagögn | Numerical Data'!$1:$1))</f>
        <v>706.28983150200986</v>
      </c>
      <c r="M148" s="292" cm="1">
        <f t="array" ref="M148">INDEX('Talnagögn | Numerical Data'!$1:$1048576, _xlfn.XMATCH($A148,'Talnagögn | Numerical Data'!$B:$B), _xlfn.XMATCH($A$1,'Talnagögn | Numerical Data'!$1:$1))/INDEX('Talnagögn | Numerical Data'!$1:$1048576, _xlfn.XMATCH($A148,'Talnagögn | Numerical Data'!$B:$B), _xlfn.XMATCH($B$1,'Talnagögn | Numerical Data'!$1:$1))-1</f>
        <v>1.209345576667352</v>
      </c>
      <c r="O148" s="375" t="str">
        <f>'Talnagögn | Numerical Data'!$E$31</f>
        <v>Álframleiðsla</v>
      </c>
      <c r="P148" s="290" cm="1">
        <f t="array" ref="P148">INDEX('Talnagögn | Numerical Data'!$1:$1048576,_xlfn.XMATCH($B148,'Talnagögn | Numerical Data'!$C:$C),_xlfn.XMATCH($B$4,'Talnagögn | Numerical Data'!$1:$1))-INDEX('Talnagögn | Numerical Data'!$1:$1048576,_xlfn.XMATCH($A148,'Talnagögn | Numerical Data'!$B:$B),_xlfn.XMATCH($B$2,'Talnagögn | Numerical Data'!$1:$1))</f>
        <v>974.30051059701464</v>
      </c>
      <c r="Q148" s="371" cm="1">
        <f t="array" ref="Q148">INDEX('Talnagögn | Numerical Data'!$1:$1048576,_xlfn.XMATCH($B148,'Talnagögn | Numerical Data'!$C:$C),_xlfn.XMATCH($B$4,'Talnagögn | Numerical Data'!$1:$1))/INDEX('Talnagögn | Numerical Data'!$1:$1048576,_xlfn.XMATCH($A148,'Talnagögn | Numerical Data'!$B:$B),_xlfn.XMATCH($B$2,'Talnagögn | Numerical Data'!$1:$1))-1</f>
        <v>2.1903818726146649</v>
      </c>
      <c r="R148" s="290" cm="1">
        <f t="array" ref="R148">INDEX('Talnagögn | Numerical Data'!$1:$1048576,_xlfn.XMATCH($B148,'Talnagögn | Numerical Data'!$C:$C),_xlfn.XMATCH($B$5,'Talnagögn | Numerical Data'!$1:$1))-INDEX('Talnagögn | Numerical Data'!$1:$1048576,_xlfn.XMATCH($A148,'Talnagögn | Numerical Data'!$B:$B),_xlfn.XMATCH($B$1,'Talnagögn | Numerical Data'!$1:$1))</f>
        <v>840.02928427819381</v>
      </c>
      <c r="S148" s="292" cm="1">
        <f t="array" ref="S148">INDEX('Talnagögn | Numerical Data'!$1:$1048576,_xlfn.XMATCH($B148,'Talnagögn | Numerical Data'!$C:$C),_xlfn.XMATCH($B$5,'Talnagögn | Numerical Data'!$1:$1))/INDEX('Talnagögn | Numerical Data'!$1:$1048576,_xlfn.XMATCH($A148,'Talnagögn | Numerical Data'!$B:$B),_xlfn.XMATCH($B$1,'Talnagögn | Numerical Data'!$1:$1))-1</f>
        <v>1.4383411085679554</v>
      </c>
      <c r="U148" s="433"/>
      <c r="V148" s="408"/>
      <c r="Y148" s="375" t="str">
        <f>'Talnagögn | Numerical Data'!$G$31</f>
        <v>Aluminium Production</v>
      </c>
      <c r="Z148" s="290" cm="1">
        <f t="array" ref="Z148">INDEX('Talnagögn | Numerical Data'!$1:$1048576, _xlfn.XMATCH($A148,'Talnagögn | Numerical Data'!$B:$B), _xlfn.XMATCH($A$1,'Talnagögn | Numerical Data'!$1:$1))</f>
        <v>1290.3163042728158</v>
      </c>
      <c r="AA148" s="371">
        <f t="shared" ref="AA148:AA156" si="1">Z148/$F$156</f>
        <v>0.2874130204735566</v>
      </c>
      <c r="AB148" s="290" cm="1">
        <f t="array" ref="AB148">INDEX('Talnagögn | Numerical Data'!$1:$1048576, _xlfn.XMATCH($A148,'Talnagögn | Numerical Data'!$B:$B), _xlfn.XMATCH($A$1,'Talnagögn | Numerical Data'!$1:$1))-INDEX('Talnagögn | Numerical Data'!$1:$1048576, _xlfn.XMATCH($A148,'Talnagögn | Numerical Data'!$B:$B), _xlfn.XMATCH($B$3,'Talnagögn | Numerical Data'!$1:$1))</f>
        <v>-70.095350678775731</v>
      </c>
      <c r="AC148" s="372" cm="1">
        <f t="array" ref="AC148">INDEX('Talnagögn | Numerical Data'!$1:$1048576, _xlfn.XMATCH($A148,'Talnagögn | Numerical Data'!$B:$B), _xlfn.XMATCH($A$1,'Talnagögn | Numerical Data'!$1:$1))/INDEX('Talnagögn | Numerical Data'!$1:$1048576, _xlfn.XMATCH($A148,'Talnagögn | Numerical Data'!$B:$B), _xlfn.XMATCH($B$3,'Talnagögn | Numerical Data'!$1:$1))-1</f>
        <v>-5.152510302572344E-2</v>
      </c>
      <c r="AD148" s="290" cm="1">
        <f t="array" ref="AD148">INDEX('Talnagögn | Numerical Data'!$1:$1048576, _xlfn.XMATCH($A148,'Talnagögn | Numerical Data'!$B:$B), _xlfn.XMATCH($A$1,'Talnagögn | Numerical Data'!$1:$1))-INDEX('Talnagögn | Numerical Data'!$1:$1048576, _xlfn.XMATCH($A148,'Talnagögn | Numerical Data'!$B:$B), _xlfn.XMATCH($B$2,'Talnagögn | Numerical Data'!$1:$1))</f>
        <v>845.50778810572865</v>
      </c>
      <c r="AE148" s="371" cm="1">
        <f t="array" ref="AE148">INDEX('Talnagögn | Numerical Data'!$1:$1048576, _xlfn.XMATCH($A148,'Talnagögn | Numerical Data'!$B:$B), _xlfn.XMATCH($A$1,'Talnagögn | Numerical Data'!$1:$1))/INDEX('Talnagögn | Numerical Data'!$1:$1048576, _xlfn.XMATCH($A148,'Talnagögn | Numerical Data'!$B:$B), _xlfn.XMATCH($B$2,'Talnagögn | Numerical Data'!$1:$1))-1</f>
        <v>1.9008354322697447</v>
      </c>
      <c r="AF148" s="290" cm="1">
        <f t="array" ref="AF148">INDEX('Talnagögn | Numerical Data'!$1:$1048576, _xlfn.XMATCH($A148,'Talnagögn | Numerical Data'!$B:$B), _xlfn.XMATCH($A$1,'Talnagögn | Numerical Data'!$1:$1))-INDEX('Talnagögn | Numerical Data'!$1:$1048576, _xlfn.XMATCH($A148,'Talnagögn | Numerical Data'!$B:$B), _xlfn.XMATCH($B$1,'Talnagögn | Numerical Data'!$1:$1))</f>
        <v>706.28983150200986</v>
      </c>
      <c r="AG148" s="292" cm="1">
        <f t="array" ref="AG148">INDEX('Talnagögn | Numerical Data'!$1:$1048576, _xlfn.XMATCH($A148,'Talnagögn | Numerical Data'!$B:$B), _xlfn.XMATCH($A$1,'Talnagögn | Numerical Data'!$1:$1))/INDEX('Talnagögn | Numerical Data'!$1:$1048576, _xlfn.XMATCH($A148,'Talnagögn | Numerical Data'!$B:$B), _xlfn.XMATCH($B$1,'Talnagögn | Numerical Data'!$1:$1))-1</f>
        <v>1.209345576667352</v>
      </c>
      <c r="AI148" s="375" t="str">
        <f>'Talnagögn | Numerical Data'!$G$31</f>
        <v>Aluminium Production</v>
      </c>
      <c r="AJ148" s="290" cm="1">
        <f t="array" ref="AJ148">INDEX('Talnagögn | Numerical Data'!$1:$1048576,_xlfn.XMATCH($B148,'Talnagögn | Numerical Data'!$C:$C),_xlfn.XMATCH($B$4,'Talnagögn | Numerical Data'!$1:$1))-INDEX('Talnagögn | Numerical Data'!$1:$1048576,_xlfn.XMATCH($A148,'Talnagögn | Numerical Data'!$B:$B),_xlfn.XMATCH($B$2,'Talnagögn | Numerical Data'!$1:$1))</f>
        <v>974.30051059701464</v>
      </c>
      <c r="AK148" s="371" cm="1">
        <f t="array" ref="AK148">INDEX('Talnagögn | Numerical Data'!$1:$1048576,_xlfn.XMATCH($B148,'Talnagögn | Numerical Data'!$C:$C),_xlfn.XMATCH($B$4,'Talnagögn | Numerical Data'!$1:$1))/INDEX('Talnagögn | Numerical Data'!$1:$1048576,_xlfn.XMATCH($A148,'Talnagögn | Numerical Data'!$B:$B),_xlfn.XMATCH($B$2,'Talnagögn | Numerical Data'!$1:$1))-1</f>
        <v>2.1903818726146649</v>
      </c>
      <c r="AL148" s="290" cm="1">
        <f t="array" ref="AL148">INDEX('Talnagögn | Numerical Data'!$1:$1048576,_xlfn.XMATCH($B148,'Talnagögn | Numerical Data'!$C:$C),_xlfn.XMATCH($B$5,'Talnagögn | Numerical Data'!$1:$1))-INDEX('Talnagögn | Numerical Data'!$1:$1048576,_xlfn.XMATCH($A148,'Talnagögn | Numerical Data'!$B:$B),_xlfn.XMATCH($B$1,'Talnagögn | Numerical Data'!$1:$1))</f>
        <v>840.02928427819381</v>
      </c>
      <c r="AM148" s="292" cm="1">
        <f t="array" ref="AM148">INDEX('Talnagögn | Numerical Data'!$1:$1048576,_xlfn.XMATCH($B148,'Talnagögn | Numerical Data'!$C:$C),_xlfn.XMATCH($B$5,'Talnagögn | Numerical Data'!$1:$1))/INDEX('Talnagögn | Numerical Data'!$1:$1048576,_xlfn.XMATCH($A148,'Talnagögn | Numerical Data'!$B:$B),_xlfn.XMATCH($B$1,'Talnagögn | Numerical Data'!$1:$1))-1</f>
        <v>1.4383411085679554</v>
      </c>
      <c r="AN148" s="1385"/>
      <c r="AO148" s="1385"/>
      <c r="AP148" s="167"/>
      <c r="AQ148" s="1385"/>
      <c r="AR148" s="1385"/>
      <c r="AS148" s="167"/>
    </row>
    <row r="149" spans="1:45" s="21" customFormat="1" ht="21" customHeight="1" x14ac:dyDescent="0.4">
      <c r="A149" s="27" t="s">
        <v>47</v>
      </c>
      <c r="B149" s="27" t="s">
        <v>236</v>
      </c>
      <c r="C149" s="645" t="s">
        <v>242</v>
      </c>
      <c r="D149" s="131" t="s">
        <v>44</v>
      </c>
      <c r="E149" s="375" t="str">
        <f>'Talnagögn | Numerical Data'!$E$29</f>
        <v>Vegasamgöngur</v>
      </c>
      <c r="F149" s="290" cm="1">
        <f t="array" ref="F149">INDEX('Talnagögn | Numerical Data'!$1:$1048576, _xlfn.XMATCH($A149,'Talnagögn | Numerical Data'!$B:$B), _xlfn.XMATCH($A$1,'Talnagögn | Numerical Data'!$1:$1))</f>
        <v>917.25938476071508</v>
      </c>
      <c r="G149" s="371">
        <f t="shared" si="0"/>
        <v>0.20431601883878286</v>
      </c>
      <c r="H149" s="290" cm="1">
        <f t="array" ref="H149">INDEX('Talnagögn | Numerical Data'!$1:$1048576, _xlfn.XMATCH($A149,'Talnagögn | Numerical Data'!$B:$B), _xlfn.XMATCH($A$1,'Talnagögn | Numerical Data'!$1:$1))-INDEX('Talnagögn | Numerical Data'!$1:$1048576, _xlfn.XMATCH($A149,'Talnagögn | Numerical Data'!$B:$B), _xlfn.XMATCH($B$3,'Talnagögn | Numerical Data'!$1:$1))</f>
        <v>11.751960279153423</v>
      </c>
      <c r="I149" s="372" cm="1">
        <f t="array" ref="I149">INDEX('Talnagögn | Numerical Data'!$1:$1048576, _xlfn.XMATCH($A149,'Talnagögn | Numerical Data'!$B:$B), _xlfn.XMATCH($A$1,'Talnagögn | Numerical Data'!$1:$1))/INDEX('Talnagögn | Numerical Data'!$1:$1048576, _xlfn.XMATCH($A149,'Talnagögn | Numerical Data'!$B:$B), _xlfn.XMATCH($B$3,'Talnagögn | Numerical Data'!$1:$1))-1</f>
        <v>1.2978314656980183E-2</v>
      </c>
      <c r="J149" s="290" cm="1">
        <f t="array" ref="J149">INDEX('Talnagögn | Numerical Data'!$1:$1048576, _xlfn.XMATCH($A149,'Talnagögn | Numerical Data'!$B:$B), _xlfn.XMATCH($A$1,'Talnagögn | Numerical Data'!$1:$1))-INDEX('Talnagögn | Numerical Data'!$1:$1048576, _xlfn.XMATCH($A149,'Talnagögn | Numerical Data'!$B:$B), _xlfn.XMATCH($B$2,'Talnagögn | Numerical Data'!$1:$1))</f>
        <v>144.2921835985353</v>
      </c>
      <c r="K149" s="371" cm="1">
        <f t="array" ref="K149">INDEX('Talnagögn | Numerical Data'!$1:$1048576, _xlfn.XMATCH($A149,'Talnagögn | Numerical Data'!$B:$B), _xlfn.XMATCH($A$1,'Talnagögn | Numerical Data'!$1:$1))/INDEX('Talnagögn | Numerical Data'!$1:$1048576, _xlfn.XMATCH($A149,'Talnagögn | Numerical Data'!$B:$B), _xlfn.XMATCH($B$2,'Talnagögn | Numerical Data'!$1:$1))-1</f>
        <v>0.18667309994730386</v>
      </c>
      <c r="L149" s="290" cm="1">
        <f t="array" ref="L149">INDEX('Talnagögn | Numerical Data'!$1:$1048576, _xlfn.XMATCH($A149,'Talnagögn | Numerical Data'!$B:$B), _xlfn.XMATCH($A$1,'Talnagögn | Numerical Data'!$1:$1))-INDEX('Talnagögn | Numerical Data'!$1:$1048576, _xlfn.XMATCH($A149,'Talnagögn | Numerical Data'!$B:$B), _xlfn.XMATCH($B$1,'Talnagögn | Numerical Data'!$1:$1))</f>
        <v>386.03803188269649</v>
      </c>
      <c r="M149" s="292" cm="1">
        <f t="array" ref="M149">INDEX('Talnagögn | Numerical Data'!$1:$1048576, _xlfn.XMATCH($A149,'Talnagögn | Numerical Data'!$B:$B), _xlfn.XMATCH($A$1,'Talnagögn | Numerical Data'!$1:$1))/INDEX('Talnagögn | Numerical Data'!$1:$1048576, _xlfn.XMATCH($A149,'Talnagögn | Numerical Data'!$B:$B), _xlfn.XMATCH($B$1,'Talnagögn | Numerical Data'!$1:$1))-1</f>
        <v>0.72669901123372238</v>
      </c>
      <c r="O149" s="375" t="str">
        <f>'Talnagögn | Numerical Data'!$E$29</f>
        <v>Vegasamgöngur</v>
      </c>
      <c r="P149" s="290" cm="1">
        <f t="array" ref="P149">INDEX('Talnagögn | Numerical Data'!$1:$1048576,_xlfn.XMATCH($B149,'Talnagögn | Numerical Data'!$C:$C),_xlfn.XMATCH($B$4,'Talnagögn | Numerical Data'!$1:$1))-INDEX('Talnagögn | Numerical Data'!$1:$1048576,_xlfn.XMATCH($A149,'Talnagögn | Numerical Data'!$B:$B),_xlfn.XMATCH($B$2,'Talnagögn | Numerical Data'!$1:$1))</f>
        <v>13.257501189084564</v>
      </c>
      <c r="Q149" s="372" cm="1">
        <f t="array" ref="Q149">INDEX('Talnagögn | Numerical Data'!$1:$1048576,_xlfn.XMATCH($B149,'Talnagögn | Numerical Data'!$C:$C),_xlfn.XMATCH($B$4,'Talnagögn | Numerical Data'!$1:$1))/INDEX('Talnagögn | Numerical Data'!$1:$1048576,_xlfn.XMATCH($A149,'Talnagögn | Numerical Data'!$B:$B),_xlfn.XMATCH($B$2,'Talnagögn | Numerical Data'!$1:$1))-1</f>
        <v>1.7151440797425144E-2</v>
      </c>
      <c r="R149" s="290" cm="1">
        <f t="array" ref="R149">INDEX('Talnagögn | Numerical Data'!$1:$1048576,_xlfn.XMATCH($B149,'Talnagögn | Numerical Data'!$C:$C),_xlfn.XMATCH($B$5,'Talnagögn | Numerical Data'!$1:$1))-INDEX('Talnagögn | Numerical Data'!$1:$1048576,_xlfn.XMATCH($A149,'Talnagögn | Numerical Data'!$B:$B),_xlfn.XMATCH($B$1,'Talnagögn | Numerical Data'!$1:$1))</f>
        <v>-501.25044716842979</v>
      </c>
      <c r="S149" s="292" cm="1">
        <f t="array" ref="S149">INDEX('Talnagögn | Numerical Data'!$1:$1048576,_xlfn.XMATCH($B149,'Talnagögn | Numerical Data'!$C:$C),_xlfn.XMATCH($B$5,'Talnagögn | Numerical Data'!$1:$1))/INDEX('Talnagögn | Numerical Data'!$1:$1048576,_xlfn.XMATCH($A149,'Talnagögn | Numerical Data'!$B:$B),_xlfn.XMATCH($B$1,'Talnagögn | Numerical Data'!$1:$1))-1</f>
        <v>-0.9435811351572857</v>
      </c>
      <c r="U149" s="432"/>
      <c r="V149" s="408"/>
      <c r="Y149" s="375" t="str">
        <f>'Talnagögn | Numerical Data'!$G$29</f>
        <v>Road Transport</v>
      </c>
      <c r="Z149" s="290" cm="1">
        <f t="array" ref="Z149">INDEX('Talnagögn | Numerical Data'!$1:$1048576, _xlfn.XMATCH($A149,'Talnagögn | Numerical Data'!$B:$B), _xlfn.XMATCH($A$1,'Talnagögn | Numerical Data'!$1:$1))</f>
        <v>917.25938476071508</v>
      </c>
      <c r="AA149" s="371">
        <f t="shared" si="1"/>
        <v>0.20431601883878286</v>
      </c>
      <c r="AB149" s="290" cm="1">
        <f t="array" ref="AB149">INDEX('Talnagögn | Numerical Data'!$1:$1048576, _xlfn.XMATCH($A149,'Talnagögn | Numerical Data'!$B:$B), _xlfn.XMATCH($A$1,'Talnagögn | Numerical Data'!$1:$1))-INDEX('Talnagögn | Numerical Data'!$1:$1048576, _xlfn.XMATCH($A149,'Talnagögn | Numerical Data'!$B:$B), _xlfn.XMATCH($B$3,'Talnagögn | Numerical Data'!$1:$1))</f>
        <v>11.751960279153423</v>
      </c>
      <c r="AC149" s="372" cm="1">
        <f t="array" ref="AC149">INDEX('Talnagögn | Numerical Data'!$1:$1048576, _xlfn.XMATCH($A149,'Talnagögn | Numerical Data'!$B:$B), _xlfn.XMATCH($A$1,'Talnagögn | Numerical Data'!$1:$1))/INDEX('Talnagögn | Numerical Data'!$1:$1048576, _xlfn.XMATCH($A149,'Talnagögn | Numerical Data'!$B:$B), _xlfn.XMATCH($B$3,'Talnagögn | Numerical Data'!$1:$1))-1</f>
        <v>1.2978314656980183E-2</v>
      </c>
      <c r="AD149" s="290" cm="1">
        <f t="array" ref="AD149">INDEX('Talnagögn | Numerical Data'!$1:$1048576, _xlfn.XMATCH($A149,'Talnagögn | Numerical Data'!$B:$B), _xlfn.XMATCH($A$1,'Talnagögn | Numerical Data'!$1:$1))-INDEX('Talnagögn | Numerical Data'!$1:$1048576, _xlfn.XMATCH($A149,'Talnagögn | Numerical Data'!$B:$B), _xlfn.XMATCH($B$2,'Talnagögn | Numerical Data'!$1:$1))</f>
        <v>144.2921835985353</v>
      </c>
      <c r="AE149" s="371" cm="1">
        <f t="array" ref="AE149">INDEX('Talnagögn | Numerical Data'!$1:$1048576, _xlfn.XMATCH($A149,'Talnagögn | Numerical Data'!$B:$B), _xlfn.XMATCH($A$1,'Talnagögn | Numerical Data'!$1:$1))/INDEX('Talnagögn | Numerical Data'!$1:$1048576, _xlfn.XMATCH($A149,'Talnagögn | Numerical Data'!$B:$B), _xlfn.XMATCH($B$2,'Talnagögn | Numerical Data'!$1:$1))-1</f>
        <v>0.18667309994730386</v>
      </c>
      <c r="AF149" s="290" cm="1">
        <f t="array" ref="AF149">INDEX('Talnagögn | Numerical Data'!$1:$1048576, _xlfn.XMATCH($A149,'Talnagögn | Numerical Data'!$B:$B), _xlfn.XMATCH($A$1,'Talnagögn | Numerical Data'!$1:$1))-INDEX('Talnagögn | Numerical Data'!$1:$1048576, _xlfn.XMATCH($A149,'Talnagögn | Numerical Data'!$B:$B), _xlfn.XMATCH($B$1,'Talnagögn | Numerical Data'!$1:$1))</f>
        <v>386.03803188269649</v>
      </c>
      <c r="AG149" s="292" cm="1">
        <f t="array" ref="AG149">INDEX('Talnagögn | Numerical Data'!$1:$1048576, _xlfn.XMATCH($A149,'Talnagögn | Numerical Data'!$B:$B), _xlfn.XMATCH($A$1,'Talnagögn | Numerical Data'!$1:$1))/INDEX('Talnagögn | Numerical Data'!$1:$1048576, _xlfn.XMATCH($A149,'Talnagögn | Numerical Data'!$B:$B), _xlfn.XMATCH($B$1,'Talnagögn | Numerical Data'!$1:$1))-1</f>
        <v>0.72669901123372238</v>
      </c>
      <c r="AI149" s="375" t="str">
        <f>'Talnagögn | Numerical Data'!$G$29</f>
        <v>Road Transport</v>
      </c>
      <c r="AJ149" s="290" cm="1">
        <f t="array" ref="AJ149">INDEX('Talnagögn | Numerical Data'!$1:$1048576,_xlfn.XMATCH($B149,'Talnagögn | Numerical Data'!$C:$C),_xlfn.XMATCH($B$4,'Talnagögn | Numerical Data'!$1:$1))-INDEX('Talnagögn | Numerical Data'!$1:$1048576,_xlfn.XMATCH($A149,'Talnagögn | Numerical Data'!$B:$B),_xlfn.XMATCH($B$2,'Talnagögn | Numerical Data'!$1:$1))</f>
        <v>13.257501189084564</v>
      </c>
      <c r="AK149" s="372" cm="1">
        <f t="array" ref="AK149">INDEX('Talnagögn | Numerical Data'!$1:$1048576,_xlfn.XMATCH($B149,'Talnagögn | Numerical Data'!$C:$C),_xlfn.XMATCH($B$4,'Talnagögn | Numerical Data'!$1:$1))/INDEX('Talnagögn | Numerical Data'!$1:$1048576,_xlfn.XMATCH($A149,'Talnagögn | Numerical Data'!$B:$B),_xlfn.XMATCH($B$2,'Talnagögn | Numerical Data'!$1:$1))-1</f>
        <v>1.7151440797425144E-2</v>
      </c>
      <c r="AL149" s="290" cm="1">
        <f t="array" ref="AL149">INDEX('Talnagögn | Numerical Data'!$1:$1048576,_xlfn.XMATCH($B149,'Talnagögn | Numerical Data'!$C:$C),_xlfn.XMATCH($B$5,'Talnagögn | Numerical Data'!$1:$1))-INDEX('Talnagögn | Numerical Data'!$1:$1048576,_xlfn.XMATCH($A149,'Talnagögn | Numerical Data'!$B:$B),_xlfn.XMATCH($B$1,'Talnagögn | Numerical Data'!$1:$1))</f>
        <v>-501.25044716842979</v>
      </c>
      <c r="AM149" s="292" cm="1">
        <f t="array" ref="AM149">INDEX('Talnagögn | Numerical Data'!$1:$1048576,_xlfn.XMATCH($B149,'Talnagögn | Numerical Data'!$C:$C),_xlfn.XMATCH($B$5,'Talnagögn | Numerical Data'!$1:$1))/INDEX('Talnagögn | Numerical Data'!$1:$1048576,_xlfn.XMATCH($A149,'Talnagögn | Numerical Data'!$B:$B),_xlfn.XMATCH($B$1,'Talnagögn | Numerical Data'!$1:$1))-1</f>
        <v>-0.9435811351572857</v>
      </c>
      <c r="AN149" s="1386"/>
      <c r="AO149" s="1386"/>
      <c r="AP149" s="124"/>
      <c r="AQ149" s="1387"/>
      <c r="AR149" s="1387"/>
      <c r="AS149" s="434"/>
    </row>
    <row r="150" spans="1:45" s="21" customFormat="1" ht="21" customHeight="1" x14ac:dyDescent="0.4">
      <c r="A150" s="27" t="s">
        <v>40</v>
      </c>
      <c r="B150" s="27" t="s">
        <v>223</v>
      </c>
      <c r="C150" s="645" t="s">
        <v>230</v>
      </c>
      <c r="D150" s="131" t="s">
        <v>44</v>
      </c>
      <c r="E150" s="375" t="str">
        <f>'Talnagögn | Numerical Data'!$E$33</f>
        <v>Landbúnaður</v>
      </c>
      <c r="F150" s="290" cm="1">
        <f t="array" ref="F150">INDEX('Talnagögn | Numerical Data'!$1:$1048576, _xlfn.XMATCH($A150,'Talnagögn | Numerical Data'!$B:$B), _xlfn.XMATCH($A$1,'Talnagögn | Numerical Data'!$1:$1))</f>
        <v>668.34042724521601</v>
      </c>
      <c r="G150" s="371">
        <f t="shared" si="0"/>
        <v>0.1488702733299111</v>
      </c>
      <c r="H150" s="908" cm="1">
        <f t="array" ref="H150">INDEX('Talnagögn | Numerical Data'!$1:$1048576, _xlfn.XMATCH($A150,'Talnagögn | Numerical Data'!$B:$B), _xlfn.XMATCH($A$1,'Talnagögn | Numerical Data'!$1:$1))-INDEX('Talnagögn | Numerical Data'!$1:$1048576, _xlfn.XMATCH($A150,'Talnagögn | Numerical Data'!$B:$B), _xlfn.XMATCH($B$3,'Talnagögn | Numerical Data'!$1:$1))</f>
        <v>-0.41798729362869835</v>
      </c>
      <c r="I150" s="907" cm="1">
        <f t="array" ref="I150">INDEX('Talnagögn | Numerical Data'!$1:$1048576, _xlfn.XMATCH($A150,'Talnagögn | Numerical Data'!$B:$B), _xlfn.XMATCH($A$1,'Talnagögn | Numerical Data'!$1:$1))/INDEX('Talnagögn | Numerical Data'!$1:$1048576, _xlfn.XMATCH($A150,'Talnagögn | Numerical Data'!$B:$B), _xlfn.XMATCH($B$3,'Talnagögn | Numerical Data'!$1:$1))-1</f>
        <v>-6.2501986448559865E-4</v>
      </c>
      <c r="J150" s="290" cm="1">
        <f t="array" ref="J150">INDEX('Talnagögn | Numerical Data'!$1:$1048576, _xlfn.XMATCH($A150,'Talnagögn | Numerical Data'!$B:$B), _xlfn.XMATCH($A$1,'Talnagögn | Numerical Data'!$1:$1))-INDEX('Talnagögn | Numerical Data'!$1:$1048576, _xlfn.XMATCH($A150,'Talnagögn | Numerical Data'!$B:$B), _xlfn.XMATCH($B$2,'Talnagögn | Numerical Data'!$1:$1))</f>
        <v>-17.944766173767107</v>
      </c>
      <c r="K150" s="372" cm="1">
        <f t="array" ref="K150">INDEX('Talnagögn | Numerical Data'!$1:$1048576, _xlfn.XMATCH($A150,'Talnagögn | Numerical Data'!$B:$B), _xlfn.XMATCH($A$1,'Talnagögn | Numerical Data'!$1:$1))/INDEX('Talnagögn | Numerical Data'!$1:$1048576, _xlfn.XMATCH($A150,'Talnagögn | Numerical Data'!$B:$B), _xlfn.XMATCH($B$2,'Talnagögn | Numerical Data'!$1:$1))-1</f>
        <v>-2.6147680797787065E-2</v>
      </c>
      <c r="L150" s="290" cm="1">
        <f t="array" ref="L150">INDEX('Talnagögn | Numerical Data'!$1:$1048576, _xlfn.XMATCH($A150,'Talnagögn | Numerical Data'!$B:$B), _xlfn.XMATCH($A$1,'Talnagögn | Numerical Data'!$1:$1))-INDEX('Talnagögn | Numerical Data'!$1:$1048576, _xlfn.XMATCH($A150,'Talnagögn | Numerical Data'!$B:$B), _xlfn.XMATCH($B$1,'Talnagögn | Numerical Data'!$1:$1))</f>
        <v>-53.430400731629675</v>
      </c>
      <c r="M150" s="293" cm="1">
        <f t="array" ref="M150">INDEX('Talnagögn | Numerical Data'!$1:$1048576, _xlfn.XMATCH($A150,'Talnagögn | Numerical Data'!$B:$B), _xlfn.XMATCH($A$1,'Talnagögn | Numerical Data'!$1:$1))/INDEX('Talnagögn | Numerical Data'!$1:$1048576, _xlfn.XMATCH($A150,'Talnagögn | Numerical Data'!$B:$B), _xlfn.XMATCH($B$1,'Talnagögn | Numerical Data'!$1:$1))-1</f>
        <v>-7.4026822172070017E-2</v>
      </c>
      <c r="O150" s="375" t="str">
        <f>'Talnagögn | Numerical Data'!$E$33</f>
        <v>Landbúnaður</v>
      </c>
      <c r="P150" s="290" cm="1">
        <f t="array" ref="P150">INDEX('Talnagögn | Numerical Data'!$1:$1048576,_xlfn.XMATCH($B150,'Talnagögn | Numerical Data'!$C:$C),_xlfn.XMATCH($B$4,'Talnagögn | Numerical Data'!$1:$1))-INDEX('Talnagögn | Numerical Data'!$1:$1048576,_xlfn.XMATCH($A150,'Talnagögn | Numerical Data'!$B:$B),_xlfn.XMATCH($B$2,'Talnagögn | Numerical Data'!$1:$1))</f>
        <v>-35.971427832382574</v>
      </c>
      <c r="Q150" s="372" cm="1">
        <f t="array" ref="Q150">INDEX('Talnagögn | Numerical Data'!$1:$1048576,_xlfn.XMATCH($B150,'Talnagögn | Numerical Data'!$C:$C),_xlfn.XMATCH($B$4,'Talnagögn | Numerical Data'!$1:$1))/INDEX('Talnagögn | Numerical Data'!$1:$1048576,_xlfn.XMATCH($A150,'Talnagögn | Numerical Data'!$B:$B),_xlfn.XMATCH($B$2,'Talnagögn | Numerical Data'!$1:$1))-1</f>
        <v>-5.2414693158652659E-2</v>
      </c>
      <c r="R150" s="290" cm="1">
        <f t="array" ref="R150">INDEX('Talnagögn | Numerical Data'!$1:$1048576,_xlfn.XMATCH($B150,'Talnagögn | Numerical Data'!$C:$C),_xlfn.XMATCH($B$5,'Talnagögn | Numerical Data'!$1:$1))-INDEX('Talnagögn | Numerical Data'!$1:$1048576,_xlfn.XMATCH($A150,'Talnagögn | Numerical Data'!$B:$B),_xlfn.XMATCH($B$1,'Talnagögn | Numerical Data'!$1:$1))</f>
        <v>-133.90036890007912</v>
      </c>
      <c r="S150" s="292" cm="1">
        <f t="array" ref="S150">INDEX('Talnagögn | Numerical Data'!$1:$1048576,_xlfn.XMATCH($B150,'Talnagögn | Numerical Data'!$C:$C),_xlfn.XMATCH($B$5,'Talnagögn | Numerical Data'!$1:$1))/INDEX('Talnagögn | Numerical Data'!$1:$1048576,_xlfn.XMATCH($A150,'Talnagögn | Numerical Data'!$B:$B),_xlfn.XMATCH($B$1,'Talnagögn | Numerical Data'!$1:$1))-1</f>
        <v>-0.18551645994810784</v>
      </c>
      <c r="U150" s="432"/>
      <c r="V150" s="408"/>
      <c r="Y150" s="375" t="str">
        <f>'Talnagögn | Numerical Data'!$G$33</f>
        <v>Agriculture</v>
      </c>
      <c r="Z150" s="290" cm="1">
        <f t="array" ref="Z150">INDEX('Talnagögn | Numerical Data'!$1:$1048576, _xlfn.XMATCH($A150,'Talnagögn | Numerical Data'!$B:$B), _xlfn.XMATCH($A$1,'Talnagögn | Numerical Data'!$1:$1))</f>
        <v>668.34042724521601</v>
      </c>
      <c r="AA150" s="371">
        <f t="shared" si="1"/>
        <v>0.1488702733299111</v>
      </c>
      <c r="AB150" s="908" cm="1">
        <f t="array" ref="AB150">INDEX('Talnagögn | Numerical Data'!$1:$1048576, _xlfn.XMATCH($A150,'Talnagögn | Numerical Data'!$B:$B), _xlfn.XMATCH($A$1,'Talnagögn | Numerical Data'!$1:$1))-INDEX('Talnagögn | Numerical Data'!$1:$1048576, _xlfn.XMATCH($A150,'Talnagögn | Numerical Data'!$B:$B), _xlfn.XMATCH($B$3,'Talnagögn | Numerical Data'!$1:$1))</f>
        <v>-0.41798729362869835</v>
      </c>
      <c r="AC150" s="907" cm="1">
        <f t="array" ref="AC150">INDEX('Talnagögn | Numerical Data'!$1:$1048576, _xlfn.XMATCH($A150,'Talnagögn | Numerical Data'!$B:$B), _xlfn.XMATCH($A$1,'Talnagögn | Numerical Data'!$1:$1))/INDEX('Talnagögn | Numerical Data'!$1:$1048576, _xlfn.XMATCH($A150,'Talnagögn | Numerical Data'!$B:$B), _xlfn.XMATCH($B$3,'Talnagögn | Numerical Data'!$1:$1))-1</f>
        <v>-6.2501986448559865E-4</v>
      </c>
      <c r="AD150" s="290" cm="1">
        <f t="array" ref="AD150">INDEX('Talnagögn | Numerical Data'!$1:$1048576, _xlfn.XMATCH($A150,'Talnagögn | Numerical Data'!$B:$B), _xlfn.XMATCH($A$1,'Talnagögn | Numerical Data'!$1:$1))-INDEX('Talnagögn | Numerical Data'!$1:$1048576, _xlfn.XMATCH($A150,'Talnagögn | Numerical Data'!$B:$B), _xlfn.XMATCH($B$2,'Talnagögn | Numerical Data'!$1:$1))</f>
        <v>-17.944766173767107</v>
      </c>
      <c r="AE150" s="372" cm="1">
        <f t="array" ref="AE150">INDEX('Talnagögn | Numerical Data'!$1:$1048576, _xlfn.XMATCH($A150,'Talnagögn | Numerical Data'!$B:$B), _xlfn.XMATCH($A$1,'Talnagögn | Numerical Data'!$1:$1))/INDEX('Talnagögn | Numerical Data'!$1:$1048576, _xlfn.XMATCH($A150,'Talnagögn | Numerical Data'!$B:$B), _xlfn.XMATCH($B$2,'Talnagögn | Numerical Data'!$1:$1))-1</f>
        <v>-2.6147680797787065E-2</v>
      </c>
      <c r="AF150" s="290" cm="1">
        <f t="array" ref="AF150">INDEX('Talnagögn | Numerical Data'!$1:$1048576, _xlfn.XMATCH($A150,'Talnagögn | Numerical Data'!$B:$B), _xlfn.XMATCH($A$1,'Talnagögn | Numerical Data'!$1:$1))-INDEX('Talnagögn | Numerical Data'!$1:$1048576, _xlfn.XMATCH($A150,'Talnagögn | Numerical Data'!$B:$B), _xlfn.XMATCH($B$1,'Talnagögn | Numerical Data'!$1:$1))</f>
        <v>-53.430400731629675</v>
      </c>
      <c r="AG150" s="293" cm="1">
        <f t="array" ref="AG150">INDEX('Talnagögn | Numerical Data'!$1:$1048576, _xlfn.XMATCH($A150,'Talnagögn | Numerical Data'!$B:$B), _xlfn.XMATCH($A$1,'Talnagögn | Numerical Data'!$1:$1))/INDEX('Talnagögn | Numerical Data'!$1:$1048576, _xlfn.XMATCH($A150,'Talnagögn | Numerical Data'!$B:$B), _xlfn.XMATCH($B$1,'Talnagögn | Numerical Data'!$1:$1))-1</f>
        <v>-7.4026822172070017E-2</v>
      </c>
      <c r="AI150" s="375" t="str">
        <f>'Talnagögn | Numerical Data'!$G$33</f>
        <v>Agriculture</v>
      </c>
      <c r="AJ150" s="290" cm="1">
        <f t="array" ref="AJ150">INDEX('Talnagögn | Numerical Data'!$1:$1048576,_xlfn.XMATCH($B150,'Talnagögn | Numerical Data'!$C:$C),_xlfn.XMATCH($B$4,'Talnagögn | Numerical Data'!$1:$1))-INDEX('Talnagögn | Numerical Data'!$1:$1048576,_xlfn.XMATCH($A150,'Talnagögn | Numerical Data'!$B:$B),_xlfn.XMATCH($B$2,'Talnagögn | Numerical Data'!$1:$1))</f>
        <v>-35.971427832382574</v>
      </c>
      <c r="AK150" s="372" cm="1">
        <f t="array" ref="AK150">INDEX('Talnagögn | Numerical Data'!$1:$1048576,_xlfn.XMATCH($B150,'Talnagögn | Numerical Data'!$C:$C),_xlfn.XMATCH($B$4,'Talnagögn | Numerical Data'!$1:$1))/INDEX('Talnagögn | Numerical Data'!$1:$1048576,_xlfn.XMATCH($A150,'Talnagögn | Numerical Data'!$B:$B),_xlfn.XMATCH($B$2,'Talnagögn | Numerical Data'!$1:$1))-1</f>
        <v>-5.2414693158652659E-2</v>
      </c>
      <c r="AL150" s="290" cm="1">
        <f t="array" ref="AL150">INDEX('Talnagögn | Numerical Data'!$1:$1048576,_xlfn.XMATCH($B150,'Talnagögn | Numerical Data'!$C:$C),_xlfn.XMATCH($B$5,'Talnagögn | Numerical Data'!$1:$1))-INDEX('Talnagögn | Numerical Data'!$1:$1048576,_xlfn.XMATCH($A150,'Talnagögn | Numerical Data'!$B:$B),_xlfn.XMATCH($B$1,'Talnagögn | Numerical Data'!$1:$1))</f>
        <v>-133.90036890007912</v>
      </c>
      <c r="AM150" s="292" cm="1">
        <f t="array" ref="AM150">INDEX('Talnagögn | Numerical Data'!$1:$1048576,_xlfn.XMATCH($B150,'Talnagögn | Numerical Data'!$C:$C),_xlfn.XMATCH($B$5,'Talnagögn | Numerical Data'!$1:$1))/INDEX('Talnagögn | Numerical Data'!$1:$1048576,_xlfn.XMATCH($A150,'Talnagögn | Numerical Data'!$B:$B),_xlfn.XMATCH($B$1,'Talnagögn | Numerical Data'!$1:$1))-1</f>
        <v>-0.18551645994810784</v>
      </c>
      <c r="AN150" s="1386"/>
      <c r="AO150" s="1386"/>
      <c r="AP150" s="135"/>
      <c r="AQ150" s="1387"/>
      <c r="AR150" s="1387"/>
      <c r="AS150" s="125"/>
    </row>
    <row r="151" spans="1:45" s="21" customFormat="1" ht="21" customHeight="1" x14ac:dyDescent="0.4">
      <c r="A151" s="27" t="s">
        <v>46</v>
      </c>
      <c r="B151" s="27" t="s">
        <v>235</v>
      </c>
      <c r="C151" s="645" t="s">
        <v>241</v>
      </c>
      <c r="D151" s="131" t="s">
        <v>44</v>
      </c>
      <c r="E151" s="375" t="str">
        <f>'Talnagögn | Numerical Data'!$E$28</f>
        <v>Fiskiskip</v>
      </c>
      <c r="F151" s="290" cm="1">
        <f t="array" ref="F151">INDEX('Talnagögn | Numerical Data'!$1:$1048576, _xlfn.XMATCH($A151,'Talnagögn | Numerical Data'!$B:$B), _xlfn.XMATCH($A$1,'Talnagögn | Numerical Data'!$1:$1))</f>
        <v>482.07188977314064</v>
      </c>
      <c r="G151" s="371">
        <f t="shared" si="0"/>
        <v>0.10737966920690704</v>
      </c>
      <c r="H151" s="290" cm="1">
        <f t="array" ref="H151">INDEX('Talnagögn | Numerical Data'!$1:$1048576, _xlfn.XMATCH($A151,'Talnagögn | Numerical Data'!$B:$B), _xlfn.XMATCH($A$1,'Talnagögn | Numerical Data'!$1:$1))-INDEX('Talnagögn | Numerical Data'!$1:$1048576, _xlfn.XMATCH($A151,'Talnagögn | Numerical Data'!$B:$B), _xlfn.XMATCH($B$3,'Talnagögn | Numerical Data'!$1:$1))</f>
        <v>-37.946921513065092</v>
      </c>
      <c r="I151" s="372" cm="1">
        <f t="array" ref="I151">INDEX('Talnagögn | Numerical Data'!$1:$1048576, _xlfn.XMATCH($A151,'Talnagögn | Numerical Data'!$B:$B), _xlfn.XMATCH($A$1,'Talnagögn | Numerical Data'!$1:$1))/INDEX('Talnagögn | Numerical Data'!$1:$1048576, _xlfn.XMATCH($A151,'Talnagögn | Numerical Data'!$B:$B), _xlfn.XMATCH($B$3,'Talnagögn | Numerical Data'!$1:$1))-1</f>
        <v>-7.2972209253753362E-2</v>
      </c>
      <c r="J151" s="290" cm="1">
        <f t="array" ref="J151">INDEX('Talnagögn | Numerical Data'!$1:$1048576, _xlfn.XMATCH($A151,'Talnagögn | Numerical Data'!$B:$B), _xlfn.XMATCH($A$1,'Talnagögn | Numerical Data'!$1:$1))-INDEX('Talnagögn | Numerical Data'!$1:$1048576, _xlfn.XMATCH($A151,'Talnagögn | Numerical Data'!$B:$B), _xlfn.XMATCH($B$2,'Talnagögn | Numerical Data'!$1:$1))</f>
        <v>-260.20390718443872</v>
      </c>
      <c r="K151" s="371" cm="1">
        <f t="array" ref="K151">INDEX('Talnagögn | Numerical Data'!$1:$1048576, _xlfn.XMATCH($A151,'Talnagögn | Numerical Data'!$B:$B), _xlfn.XMATCH($A$1,'Talnagögn | Numerical Data'!$1:$1))/INDEX('Talnagögn | Numerical Data'!$1:$1048576, _xlfn.XMATCH($A151,'Talnagögn | Numerical Data'!$B:$B), _xlfn.XMATCH($B$2,'Talnagögn | Numerical Data'!$1:$1))-1</f>
        <v>-0.35054882329580961</v>
      </c>
      <c r="L151" s="290" cm="1">
        <f t="array" ref="L151">INDEX('Talnagögn | Numerical Data'!$1:$1048576, _xlfn.XMATCH($A151,'Talnagögn | Numerical Data'!$B:$B), _xlfn.XMATCH($A$1,'Talnagögn | Numerical Data'!$1:$1))-INDEX('Talnagögn | Numerical Data'!$1:$1048576, _xlfn.XMATCH($A151,'Talnagögn | Numerical Data'!$B:$B), _xlfn.XMATCH($B$1,'Talnagögn | Numerical Data'!$1:$1))</f>
        <v>-278.3655473838374</v>
      </c>
      <c r="M151" s="292" cm="1">
        <f t="array" ref="M151">INDEX('Talnagögn | Numerical Data'!$1:$1048576, _xlfn.XMATCH($A151,'Talnagögn | Numerical Data'!$B:$B), _xlfn.XMATCH($A$1,'Talnagögn | Numerical Data'!$1:$1))/INDEX('Talnagögn | Numerical Data'!$1:$1048576, _xlfn.XMATCH($A151,'Talnagögn | Numerical Data'!$B:$B), _xlfn.XMATCH($B$1,'Talnagögn | Numerical Data'!$1:$1))-1</f>
        <v>-0.36605976216078118</v>
      </c>
      <c r="O151" s="375" t="str">
        <f>'Talnagögn | Numerical Data'!$E$28</f>
        <v>Fiskiskip</v>
      </c>
      <c r="P151" s="290" cm="1">
        <f t="array" ref="P151">INDEX('Talnagögn | Numerical Data'!$1:$1048576,_xlfn.XMATCH($B151,'Talnagögn | Numerical Data'!$C:$C),_xlfn.XMATCH($B$4,'Talnagögn | Numerical Data'!$1:$1))-INDEX('Talnagögn | Numerical Data'!$1:$1048576,_xlfn.XMATCH($A151,'Talnagögn | Numerical Data'!$B:$B),_xlfn.XMATCH($B$2,'Talnagögn | Numerical Data'!$1:$1))</f>
        <v>-285.80893779216456</v>
      </c>
      <c r="Q151" s="371" cm="1">
        <f t="array" ref="Q151">INDEX('Talnagögn | Numerical Data'!$1:$1048576,_xlfn.XMATCH($B151,'Talnagögn | Numerical Data'!$C:$C),_xlfn.XMATCH($B$4,'Talnagögn | Numerical Data'!$1:$1))/INDEX('Talnagögn | Numerical Data'!$1:$1048576,_xlfn.XMATCH($A151,'Talnagögn | Numerical Data'!$B:$B),_xlfn.XMATCH($B$2,'Talnagögn | Numerical Data'!$1:$1))-1</f>
        <v>-0.38504412910084196</v>
      </c>
      <c r="R151" s="290" cm="1">
        <f t="array" ref="R151">INDEX('Talnagögn | Numerical Data'!$1:$1048576,_xlfn.XMATCH($B151,'Talnagögn | Numerical Data'!$C:$C),_xlfn.XMATCH($B$5,'Talnagögn | Numerical Data'!$1:$1))-INDEX('Talnagögn | Numerical Data'!$1:$1048576,_xlfn.XMATCH($A151,'Talnagögn | Numerical Data'!$B:$B),_xlfn.XMATCH($B$1,'Talnagögn | Numerical Data'!$1:$1))</f>
        <v>-584.66150953508441</v>
      </c>
      <c r="S151" s="292" cm="1">
        <f t="array" ref="S151">INDEX('Talnagögn | Numerical Data'!$1:$1048576,_xlfn.XMATCH($B151,'Talnagögn | Numerical Data'!$C:$C),_xlfn.XMATCH($B$5,'Talnagögn | Numerical Data'!$1:$1))/INDEX('Talnagögn | Numerical Data'!$1:$1048576,_xlfn.XMATCH($A151,'Talnagögn | Numerical Data'!$B:$B),_xlfn.XMATCH($B$1,'Talnagögn | Numerical Data'!$1:$1))-1</f>
        <v>-0.76884892953316286</v>
      </c>
      <c r="U151" s="129"/>
      <c r="V151" s="408"/>
      <c r="Y151" s="375" t="str">
        <f>'Talnagögn | Numerical Data'!$G$28</f>
        <v>Fishing</v>
      </c>
      <c r="Z151" s="290" cm="1">
        <f t="array" ref="Z151">INDEX('Talnagögn | Numerical Data'!$1:$1048576, _xlfn.XMATCH($A151,'Talnagögn | Numerical Data'!$B:$B), _xlfn.XMATCH($A$1,'Talnagögn | Numerical Data'!$1:$1))</f>
        <v>482.07188977314064</v>
      </c>
      <c r="AA151" s="371">
        <f t="shared" si="1"/>
        <v>0.10737966920690704</v>
      </c>
      <c r="AB151" s="290" cm="1">
        <f t="array" ref="AB151">INDEX('Talnagögn | Numerical Data'!$1:$1048576, _xlfn.XMATCH($A151,'Talnagögn | Numerical Data'!$B:$B), _xlfn.XMATCH($A$1,'Talnagögn | Numerical Data'!$1:$1))-INDEX('Talnagögn | Numerical Data'!$1:$1048576, _xlfn.XMATCH($A151,'Talnagögn | Numerical Data'!$B:$B), _xlfn.XMATCH($B$3,'Talnagögn | Numerical Data'!$1:$1))</f>
        <v>-37.946921513065092</v>
      </c>
      <c r="AC151" s="372" cm="1">
        <f t="array" ref="AC151">INDEX('Talnagögn | Numerical Data'!$1:$1048576, _xlfn.XMATCH($A151,'Talnagögn | Numerical Data'!$B:$B), _xlfn.XMATCH($A$1,'Talnagögn | Numerical Data'!$1:$1))/INDEX('Talnagögn | Numerical Data'!$1:$1048576, _xlfn.XMATCH($A151,'Talnagögn | Numerical Data'!$B:$B), _xlfn.XMATCH($B$3,'Talnagögn | Numerical Data'!$1:$1))-1</f>
        <v>-7.2972209253753362E-2</v>
      </c>
      <c r="AD151" s="290" cm="1">
        <f t="array" ref="AD151">INDEX('Talnagögn | Numerical Data'!$1:$1048576, _xlfn.XMATCH($A151,'Talnagögn | Numerical Data'!$B:$B), _xlfn.XMATCH($A$1,'Talnagögn | Numerical Data'!$1:$1))-INDEX('Talnagögn | Numerical Data'!$1:$1048576, _xlfn.XMATCH($A151,'Talnagögn | Numerical Data'!$B:$B), _xlfn.XMATCH($B$2,'Talnagögn | Numerical Data'!$1:$1))</f>
        <v>-260.20390718443872</v>
      </c>
      <c r="AE151" s="371" cm="1">
        <f t="array" ref="AE151">INDEX('Talnagögn | Numerical Data'!$1:$1048576, _xlfn.XMATCH($A151,'Talnagögn | Numerical Data'!$B:$B), _xlfn.XMATCH($A$1,'Talnagögn | Numerical Data'!$1:$1))/INDEX('Talnagögn | Numerical Data'!$1:$1048576, _xlfn.XMATCH($A151,'Talnagögn | Numerical Data'!$B:$B), _xlfn.XMATCH($B$2,'Talnagögn | Numerical Data'!$1:$1))-1</f>
        <v>-0.35054882329580961</v>
      </c>
      <c r="AF151" s="290" cm="1">
        <f t="array" ref="AF151">INDEX('Talnagögn | Numerical Data'!$1:$1048576, _xlfn.XMATCH($A151,'Talnagögn | Numerical Data'!$B:$B), _xlfn.XMATCH($A$1,'Talnagögn | Numerical Data'!$1:$1))-INDEX('Talnagögn | Numerical Data'!$1:$1048576, _xlfn.XMATCH($A151,'Talnagögn | Numerical Data'!$B:$B), _xlfn.XMATCH($B$1,'Talnagögn | Numerical Data'!$1:$1))</f>
        <v>-278.3655473838374</v>
      </c>
      <c r="AG151" s="292" cm="1">
        <f t="array" ref="AG151">INDEX('Talnagögn | Numerical Data'!$1:$1048576, _xlfn.XMATCH($A151,'Talnagögn | Numerical Data'!$B:$B), _xlfn.XMATCH($A$1,'Talnagögn | Numerical Data'!$1:$1))/INDEX('Talnagögn | Numerical Data'!$1:$1048576, _xlfn.XMATCH($A151,'Talnagögn | Numerical Data'!$B:$B), _xlfn.XMATCH($B$1,'Talnagögn | Numerical Data'!$1:$1))-1</f>
        <v>-0.36605976216078118</v>
      </c>
      <c r="AI151" s="375" t="str">
        <f>'Talnagögn | Numerical Data'!$G$28</f>
        <v>Fishing</v>
      </c>
      <c r="AJ151" s="290" cm="1">
        <f t="array" ref="AJ151">INDEX('Talnagögn | Numerical Data'!$1:$1048576,_xlfn.XMATCH($B151,'Talnagögn | Numerical Data'!$C:$C),_xlfn.XMATCH($B$4,'Talnagögn | Numerical Data'!$1:$1))-INDEX('Talnagögn | Numerical Data'!$1:$1048576,_xlfn.XMATCH($A151,'Talnagögn | Numerical Data'!$B:$B),_xlfn.XMATCH($B$2,'Talnagögn | Numerical Data'!$1:$1))</f>
        <v>-285.80893779216456</v>
      </c>
      <c r="AK151" s="371" cm="1">
        <f t="array" ref="AK151">INDEX('Talnagögn | Numerical Data'!$1:$1048576,_xlfn.XMATCH($B151,'Talnagögn | Numerical Data'!$C:$C),_xlfn.XMATCH($B$4,'Talnagögn | Numerical Data'!$1:$1))/INDEX('Talnagögn | Numerical Data'!$1:$1048576,_xlfn.XMATCH($A151,'Talnagögn | Numerical Data'!$B:$B),_xlfn.XMATCH($B$2,'Talnagögn | Numerical Data'!$1:$1))-1</f>
        <v>-0.38504412910084196</v>
      </c>
      <c r="AL151" s="290" cm="1">
        <f t="array" ref="AL151">INDEX('Talnagögn | Numerical Data'!$1:$1048576,_xlfn.XMATCH($B151,'Talnagögn | Numerical Data'!$C:$C),_xlfn.XMATCH($B$5,'Talnagögn | Numerical Data'!$1:$1))-INDEX('Talnagögn | Numerical Data'!$1:$1048576,_xlfn.XMATCH($A151,'Talnagögn | Numerical Data'!$B:$B),_xlfn.XMATCH($B$1,'Talnagögn | Numerical Data'!$1:$1))</f>
        <v>-584.66150953508441</v>
      </c>
      <c r="AM151" s="292" cm="1">
        <f t="array" ref="AM151">INDEX('Talnagögn | Numerical Data'!$1:$1048576,_xlfn.XMATCH($B151,'Talnagögn | Numerical Data'!$C:$C),_xlfn.XMATCH($B$5,'Talnagögn | Numerical Data'!$1:$1))/INDEX('Talnagögn | Numerical Data'!$1:$1048576,_xlfn.XMATCH($A151,'Talnagögn | Numerical Data'!$B:$B),_xlfn.XMATCH($B$1,'Talnagögn | Numerical Data'!$1:$1))-1</f>
        <v>-0.76884892953316286</v>
      </c>
      <c r="AN151" s="1391"/>
      <c r="AO151" s="1391"/>
      <c r="AP151" s="124"/>
      <c r="AQ151" s="1391"/>
      <c r="AR151" s="1391"/>
      <c r="AS151" s="124"/>
    </row>
    <row r="152" spans="1:45" s="21" customFormat="1" ht="21" customHeight="1" x14ac:dyDescent="0.4">
      <c r="A152" s="27" t="s">
        <v>192</v>
      </c>
      <c r="B152" s="27" t="s">
        <v>239</v>
      </c>
      <c r="C152" s="645" t="s">
        <v>245</v>
      </c>
      <c r="D152" s="131" t="s">
        <v>44</v>
      </c>
      <c r="E152" s="375" t="str">
        <f>'Talnagögn | Numerical Data'!$E$32</f>
        <v>Kísil- og kísilmálmframleiðsla</v>
      </c>
      <c r="F152" s="290" cm="1">
        <f t="array" ref="F152">INDEX('Talnagögn | Numerical Data'!$1:$1048576, _xlfn.XMATCH($A152,'Talnagögn | Numerical Data'!$B:$B), _xlfn.XMATCH($A$1,'Talnagögn | Numerical Data'!$1:$1))</f>
        <v>384.34514535840748</v>
      </c>
      <c r="G152" s="372">
        <f t="shared" si="0"/>
        <v>8.5611410757196721E-2</v>
      </c>
      <c r="H152" s="290" cm="1">
        <f t="array" ref="H152">INDEX('Talnagögn | Numerical Data'!$1:$1048576, _xlfn.XMATCH($A152,'Talnagögn | Numerical Data'!$B:$B), _xlfn.XMATCH($A$1,'Talnagögn | Numerical Data'!$1:$1))-INDEX('Talnagögn | Numerical Data'!$1:$1048576, _xlfn.XMATCH($A152,'Talnagögn | Numerical Data'!$B:$B), _xlfn.XMATCH($B$3,'Talnagögn | Numerical Data'!$1:$1))</f>
        <v>-142.97401442709253</v>
      </c>
      <c r="I152" s="371" cm="1">
        <f t="array" ref="I152">INDEX('Talnagögn | Numerical Data'!$1:$1048576, _xlfn.XMATCH($A152,'Talnagögn | Numerical Data'!$B:$B), _xlfn.XMATCH($A$1,'Talnagögn | Numerical Data'!$1:$1))/INDEX('Talnagögn | Numerical Data'!$1:$1048576, _xlfn.XMATCH($A152,'Talnagögn | Numerical Data'!$B:$B), _xlfn.XMATCH($B$3,'Talnagögn | Numerical Data'!$1:$1))-1</f>
        <v>-0.27113373708107003</v>
      </c>
      <c r="J152" s="296" cm="1">
        <f t="array" ref="J152">INDEX('Talnagögn | Numerical Data'!$1:$1048576, _xlfn.XMATCH($A152,'Talnagögn | Numerical Data'!$B:$B), _xlfn.XMATCH($A$1,'Talnagögn | Numerical Data'!$1:$1))-INDEX('Talnagögn | Numerical Data'!$1:$1048576, _xlfn.XMATCH($A152,'Talnagögn | Numerical Data'!$B:$B), _xlfn.XMATCH($B$2,'Talnagögn | Numerical Data'!$1:$1))</f>
        <v>4.402251352007454</v>
      </c>
      <c r="K152" s="372" cm="1">
        <f t="array" ref="K152">INDEX('Talnagögn | Numerical Data'!$1:$1048576, _xlfn.XMATCH($A152,'Talnagögn | Numerical Data'!$B:$B), _xlfn.XMATCH($A$1,'Talnagögn | Numerical Data'!$1:$1))/INDEX('Talnagögn | Numerical Data'!$1:$1048576, _xlfn.XMATCH($A152,'Talnagögn | Numerical Data'!$B:$B), _xlfn.XMATCH($B$2,'Talnagögn | Numerical Data'!$1:$1))-1</f>
        <v>1.1586613202807516E-2</v>
      </c>
      <c r="L152" s="290" cm="1">
        <f t="array" ref="L152">INDEX('Talnagögn | Numerical Data'!$1:$1048576, _xlfn.XMATCH($A152,'Talnagögn | Numerical Data'!$B:$B), _xlfn.XMATCH($A$1,'Talnagögn | Numerical Data'!$1:$1))-INDEX('Talnagögn | Numerical Data'!$1:$1048576, _xlfn.XMATCH($A152,'Talnagögn | Numerical Data'!$B:$B), _xlfn.XMATCH($B$1,'Talnagögn | Numerical Data'!$1:$1))</f>
        <v>173.79042365174081</v>
      </c>
      <c r="M152" s="292" cm="1">
        <f t="array" ref="M152">INDEX('Talnagögn | Numerical Data'!$1:$1048576, _xlfn.XMATCH($A152,'Talnagögn | Numerical Data'!$B:$B), _xlfn.XMATCH($A$1,'Talnagögn | Numerical Data'!$1:$1))/INDEX('Talnagögn | Numerical Data'!$1:$1048576, _xlfn.XMATCH($A152,'Talnagögn | Numerical Data'!$B:$B), _xlfn.XMATCH($B$1,'Talnagögn | Numerical Data'!$1:$1))-1</f>
        <v>0.82539314361164573</v>
      </c>
      <c r="O152" s="375" t="str">
        <f>'Talnagögn | Numerical Data'!$E$32</f>
        <v>Kísil- og kísilmálmframleiðsla</v>
      </c>
      <c r="P152" s="290" cm="1">
        <f t="array" ref="P152">INDEX('Talnagögn | Numerical Data'!$1:$1048576,_xlfn.XMATCH($B152,'Talnagögn | Numerical Data'!$C:$C),_xlfn.XMATCH($B$4,'Talnagögn | Numerical Data'!$1:$1))-INDEX('Talnagögn | Numerical Data'!$1:$1048576,_xlfn.XMATCH($A152,'Talnagögn | Numerical Data'!$B:$B),_xlfn.XMATCH($B$2,'Talnagögn | Numerical Data'!$1:$1))</f>
        <v>122.34357826246662</v>
      </c>
      <c r="Q152" s="371" cm="1">
        <f t="array" ref="Q152">INDEX('Talnagögn | Numerical Data'!$1:$1048576,_xlfn.XMATCH($B152,'Talnagögn | Numerical Data'!$C:$C),_xlfn.XMATCH($B$4,'Talnagögn | Numerical Data'!$1:$1))/INDEX('Talnagögn | Numerical Data'!$1:$1048576,_xlfn.XMATCH($A152,'Talnagögn | Numerical Data'!$B:$B),_xlfn.XMATCH($B$2,'Talnagögn | Numerical Data'!$1:$1))-1</f>
        <v>0.32200517549462515</v>
      </c>
      <c r="R152" s="290" cm="1">
        <f t="array" ref="R152">INDEX('Talnagögn | Numerical Data'!$1:$1048576,_xlfn.XMATCH($B152,'Talnagögn | Numerical Data'!$C:$C),_xlfn.XMATCH($B$5,'Talnagögn | Numerical Data'!$1:$1))-INDEX('Talnagögn | Numerical Data'!$1:$1048576,_xlfn.XMATCH($A152,'Talnagögn | Numerical Data'!$B:$B),_xlfn.XMATCH($B$1,'Talnagögn | Numerical Data'!$1:$1))</f>
        <v>291.73175056219998</v>
      </c>
      <c r="S152" s="292" cm="1">
        <f t="array" ref="S152">INDEX('Talnagögn | Numerical Data'!$1:$1048576,_xlfn.XMATCH($B152,'Talnagögn | Numerical Data'!$C:$C),_xlfn.XMATCH($B$5,'Talnagögn | Numerical Data'!$1:$1))/INDEX('Talnagögn | Numerical Data'!$1:$1048576,_xlfn.XMATCH($A152,'Talnagögn | Numerical Data'!$B:$B),_xlfn.XMATCH($B$1,'Talnagögn | Numerical Data'!$1:$1))-1</f>
        <v>1.3855388670344078</v>
      </c>
      <c r="U152" s="433"/>
      <c r="V152" s="408"/>
      <c r="Y152" s="375" t="str">
        <f>'Talnagögn | Numerical Data'!$G$32</f>
        <v>Ferrosilicon and Silicon Metal Production</v>
      </c>
      <c r="Z152" s="290" cm="1">
        <f t="array" ref="Z152">INDEX('Talnagögn | Numerical Data'!$1:$1048576, _xlfn.XMATCH($A152,'Talnagögn | Numerical Data'!$B:$B), _xlfn.XMATCH($A$1,'Talnagögn | Numerical Data'!$1:$1))</f>
        <v>384.34514535840748</v>
      </c>
      <c r="AA152" s="372">
        <f t="shared" si="1"/>
        <v>8.5611410757196721E-2</v>
      </c>
      <c r="AB152" s="290" cm="1">
        <f t="array" ref="AB152">INDEX('Talnagögn | Numerical Data'!$1:$1048576, _xlfn.XMATCH($A152,'Talnagögn | Numerical Data'!$B:$B), _xlfn.XMATCH($A$1,'Talnagögn | Numerical Data'!$1:$1))-INDEX('Talnagögn | Numerical Data'!$1:$1048576, _xlfn.XMATCH($A152,'Talnagögn | Numerical Data'!$B:$B), _xlfn.XMATCH($B$3,'Talnagögn | Numerical Data'!$1:$1))</f>
        <v>-142.97401442709253</v>
      </c>
      <c r="AC152" s="371" cm="1">
        <f t="array" ref="AC152">INDEX('Talnagögn | Numerical Data'!$1:$1048576, _xlfn.XMATCH($A152,'Talnagögn | Numerical Data'!$B:$B), _xlfn.XMATCH($A$1,'Talnagögn | Numerical Data'!$1:$1))/INDEX('Talnagögn | Numerical Data'!$1:$1048576, _xlfn.XMATCH($A152,'Talnagögn | Numerical Data'!$B:$B), _xlfn.XMATCH($B$3,'Talnagögn | Numerical Data'!$1:$1))-1</f>
        <v>-0.27113373708107003</v>
      </c>
      <c r="AD152" s="296" cm="1">
        <f t="array" ref="AD152">INDEX('Talnagögn | Numerical Data'!$1:$1048576, _xlfn.XMATCH($A152,'Talnagögn | Numerical Data'!$B:$B), _xlfn.XMATCH($A$1,'Talnagögn | Numerical Data'!$1:$1))-INDEX('Talnagögn | Numerical Data'!$1:$1048576, _xlfn.XMATCH($A152,'Talnagögn | Numerical Data'!$B:$B), _xlfn.XMATCH($B$2,'Talnagögn | Numerical Data'!$1:$1))</f>
        <v>4.402251352007454</v>
      </c>
      <c r="AE152" s="372" cm="1">
        <f t="array" ref="AE152">INDEX('Talnagögn | Numerical Data'!$1:$1048576, _xlfn.XMATCH($A152,'Talnagögn | Numerical Data'!$B:$B), _xlfn.XMATCH($A$1,'Talnagögn | Numerical Data'!$1:$1))/INDEX('Talnagögn | Numerical Data'!$1:$1048576, _xlfn.XMATCH($A152,'Talnagögn | Numerical Data'!$B:$B), _xlfn.XMATCH($B$2,'Talnagögn | Numerical Data'!$1:$1))-1</f>
        <v>1.1586613202807516E-2</v>
      </c>
      <c r="AF152" s="290" cm="1">
        <f t="array" ref="AF152">INDEX('Talnagögn | Numerical Data'!$1:$1048576, _xlfn.XMATCH($A152,'Talnagögn | Numerical Data'!$B:$B), _xlfn.XMATCH($A$1,'Talnagögn | Numerical Data'!$1:$1))-INDEX('Talnagögn | Numerical Data'!$1:$1048576, _xlfn.XMATCH($A152,'Talnagögn | Numerical Data'!$B:$B), _xlfn.XMATCH($B$1,'Talnagögn | Numerical Data'!$1:$1))</f>
        <v>173.79042365174081</v>
      </c>
      <c r="AG152" s="292" cm="1">
        <f t="array" ref="AG152">INDEX('Talnagögn | Numerical Data'!$1:$1048576, _xlfn.XMATCH($A152,'Talnagögn | Numerical Data'!$B:$B), _xlfn.XMATCH($A$1,'Talnagögn | Numerical Data'!$1:$1))/INDEX('Talnagögn | Numerical Data'!$1:$1048576, _xlfn.XMATCH($A152,'Talnagögn | Numerical Data'!$B:$B), _xlfn.XMATCH($B$1,'Talnagögn | Numerical Data'!$1:$1))-1</f>
        <v>0.82539314361164573</v>
      </c>
      <c r="AI152" s="375" t="str">
        <f>'Talnagögn | Numerical Data'!$G$32</f>
        <v>Ferrosilicon and Silicon Metal Production</v>
      </c>
      <c r="AJ152" s="290" cm="1">
        <f t="array" ref="AJ152">INDEX('Talnagögn | Numerical Data'!$1:$1048576,_xlfn.XMATCH($B152,'Talnagögn | Numerical Data'!$C:$C),_xlfn.XMATCH($B$4,'Talnagögn | Numerical Data'!$1:$1))-INDEX('Talnagögn | Numerical Data'!$1:$1048576,_xlfn.XMATCH($A152,'Talnagögn | Numerical Data'!$B:$B),_xlfn.XMATCH($B$2,'Talnagögn | Numerical Data'!$1:$1))</f>
        <v>122.34357826246662</v>
      </c>
      <c r="AK152" s="371" cm="1">
        <f t="array" ref="AK152">INDEX('Talnagögn | Numerical Data'!$1:$1048576,_xlfn.XMATCH($B152,'Talnagögn | Numerical Data'!$C:$C),_xlfn.XMATCH($B$4,'Talnagögn | Numerical Data'!$1:$1))/INDEX('Talnagögn | Numerical Data'!$1:$1048576,_xlfn.XMATCH($A152,'Talnagögn | Numerical Data'!$B:$B),_xlfn.XMATCH($B$2,'Talnagögn | Numerical Data'!$1:$1))-1</f>
        <v>0.32200517549462515</v>
      </c>
      <c r="AL152" s="290" cm="1">
        <f t="array" ref="AL152">INDEX('Talnagögn | Numerical Data'!$1:$1048576,_xlfn.XMATCH($B152,'Talnagögn | Numerical Data'!$C:$C),_xlfn.XMATCH($B$5,'Talnagögn | Numerical Data'!$1:$1))-INDEX('Talnagögn | Numerical Data'!$1:$1048576,_xlfn.XMATCH($A152,'Talnagögn | Numerical Data'!$B:$B),_xlfn.XMATCH($B$1,'Talnagögn | Numerical Data'!$1:$1))</f>
        <v>291.73175056219998</v>
      </c>
      <c r="AM152" s="292" cm="1">
        <f t="array" ref="AM152">INDEX('Talnagögn | Numerical Data'!$1:$1048576,_xlfn.XMATCH($B152,'Talnagögn | Numerical Data'!$C:$C),_xlfn.XMATCH($B$5,'Talnagögn | Numerical Data'!$1:$1))/INDEX('Talnagögn | Numerical Data'!$1:$1048576,_xlfn.XMATCH($A152,'Talnagögn | Numerical Data'!$B:$B),_xlfn.XMATCH($B$1,'Talnagögn | Numerical Data'!$1:$1))-1</f>
        <v>1.3855388670344078</v>
      </c>
      <c r="AN152" s="1385"/>
      <c r="AO152" s="1385"/>
      <c r="AP152" s="166"/>
      <c r="AQ152" s="1385"/>
      <c r="AR152" s="1385"/>
      <c r="AS152" s="167"/>
    </row>
    <row r="153" spans="1:45" s="21" customFormat="1" ht="21" customHeight="1" x14ac:dyDescent="0.4">
      <c r="A153" s="27" t="s">
        <v>42</v>
      </c>
      <c r="B153" s="27" t="s">
        <v>225</v>
      </c>
      <c r="C153" s="645" t="s">
        <v>232</v>
      </c>
      <c r="D153" s="131" t="s">
        <v>44</v>
      </c>
      <c r="E153" s="375" t="str">
        <f>'Talnagögn | Numerical Data'!$E$34</f>
        <v>Úrgangur</v>
      </c>
      <c r="F153" s="290" cm="1">
        <f t="array" ref="F153">INDEX('Talnagögn | Numerical Data'!$1:$1048576, _xlfn.XMATCH($A153,'Talnagögn | Numerical Data'!$B:$B), _xlfn.XMATCH($A$1,'Talnagögn | Numerical Data'!$1:$1))</f>
        <v>222.59190359498734</v>
      </c>
      <c r="G153" s="372">
        <f t="shared" si="0"/>
        <v>4.9581494966266362E-2</v>
      </c>
      <c r="H153" s="296" cm="1">
        <f t="array" ref="H153">INDEX('Talnagögn | Numerical Data'!$1:$1048576, _xlfn.XMATCH($A153,'Talnagögn | Numerical Data'!$B:$B), _xlfn.XMATCH($A$1,'Talnagögn | Numerical Data'!$1:$1))-INDEX('Talnagögn | Numerical Data'!$1:$1048576, _xlfn.XMATCH($A153,'Talnagögn | Numerical Data'!$B:$B), _xlfn.XMATCH($B$3,'Talnagögn | Numerical Data'!$1:$1))</f>
        <v>-16.793902732083069</v>
      </c>
      <c r="I153" s="372" cm="1">
        <f t="array" ref="I153">INDEX('Talnagögn | Numerical Data'!$1:$1048576, _xlfn.XMATCH($A153,'Talnagögn | Numerical Data'!$B:$B), _xlfn.XMATCH($A$1,'Talnagögn | Numerical Data'!$1:$1))/INDEX('Talnagögn | Numerical Data'!$1:$1048576, _xlfn.XMATCH($A153,'Talnagögn | Numerical Data'!$B:$B), _xlfn.XMATCH($B$3,'Talnagögn | Numerical Data'!$1:$1))-1</f>
        <v>-7.0154128975958296E-2</v>
      </c>
      <c r="J153" s="290" cm="1">
        <f t="array" ref="J153">INDEX('Talnagögn | Numerical Data'!$1:$1048576, _xlfn.XMATCH($A153,'Talnagögn | Numerical Data'!$B:$B), _xlfn.XMATCH($A$1,'Talnagögn | Numerical Data'!$1:$1))-INDEX('Talnagögn | Numerical Data'!$1:$1048576, _xlfn.XMATCH($A153,'Talnagögn | Numerical Data'!$B:$B), _xlfn.XMATCH($B$2,'Talnagögn | Numerical Data'!$1:$1))</f>
        <v>-91.372948986054951</v>
      </c>
      <c r="K153" s="371" cm="1">
        <f t="array" ref="K153">INDEX('Talnagögn | Numerical Data'!$1:$1048576, _xlfn.XMATCH($A153,'Talnagögn | Numerical Data'!$B:$B), _xlfn.XMATCH($A$1,'Talnagögn | Numerical Data'!$1:$1))/INDEX('Talnagögn | Numerical Data'!$1:$1048576, _xlfn.XMATCH($A153,'Talnagögn | Numerical Data'!$B:$B), _xlfn.XMATCH($B$2,'Talnagögn | Numerical Data'!$1:$1))-1</f>
        <v>-0.29102922902005179</v>
      </c>
      <c r="L153" s="296" cm="1">
        <f t="array" ref="L153">INDEX('Talnagögn | Numerical Data'!$1:$1048576, _xlfn.XMATCH($A153,'Talnagögn | Numerical Data'!$B:$B), _xlfn.XMATCH($A$1,'Talnagögn | Numerical Data'!$1:$1))-INDEX('Talnagögn | Numerical Data'!$1:$1048576, _xlfn.XMATCH($A153,'Talnagögn | Numerical Data'!$B:$B), _xlfn.XMATCH($B$1,'Talnagögn | Numerical Data'!$1:$1))</f>
        <v>8.0408555542836382</v>
      </c>
      <c r="M153" s="293" cm="1">
        <f t="array" ref="M153">INDEX('Talnagögn | Numerical Data'!$1:$1048576, _xlfn.XMATCH($A153,'Talnagögn | Numerical Data'!$B:$B), _xlfn.XMATCH($A$1,'Talnagögn | Numerical Data'!$1:$1))/INDEX('Talnagögn | Numerical Data'!$1:$1048576, _xlfn.XMATCH($A153,'Talnagögn | Numerical Data'!$B:$B), _xlfn.XMATCH($B$1,'Talnagögn | Numerical Data'!$1:$1))-1</f>
        <v>3.7477586931936813E-2</v>
      </c>
      <c r="O153" s="375" t="str">
        <f>'Talnagögn | Numerical Data'!$E$34</f>
        <v>Úrgangur</v>
      </c>
      <c r="P153" s="290" cm="1">
        <f t="array" ref="P153">INDEX('Talnagögn | Numerical Data'!$1:$1048576,_xlfn.XMATCH($B153,'Talnagögn | Numerical Data'!$C:$C),_xlfn.XMATCH($B$4,'Talnagögn | Numerical Data'!$1:$1))-INDEX('Talnagögn | Numerical Data'!$1:$1048576,_xlfn.XMATCH($A153,'Talnagögn | Numerical Data'!$B:$B),_xlfn.XMATCH($B$2,'Talnagögn | Numerical Data'!$1:$1))</f>
        <v>-155.176977797196</v>
      </c>
      <c r="Q153" s="371" cm="1">
        <f t="array" ref="Q153">INDEX('Talnagögn | Numerical Data'!$1:$1048576,_xlfn.XMATCH($B153,'Talnagögn | Numerical Data'!$C:$C),_xlfn.XMATCH($B$4,'Talnagögn | Numerical Data'!$1:$1))/INDEX('Talnagögn | Numerical Data'!$1:$1048576,_xlfn.XMATCH($A153,'Talnagögn | Numerical Data'!$B:$B),_xlfn.XMATCH($B$2,'Talnagögn | Numerical Data'!$1:$1))-1</f>
        <v>-0.49424952035718994</v>
      </c>
      <c r="R153" s="290" cm="1">
        <f t="array" ref="R153">INDEX('Talnagögn | Numerical Data'!$1:$1048576,_xlfn.XMATCH($B153,'Talnagögn | Numerical Data'!$C:$C),_xlfn.XMATCH($B$5,'Talnagögn | Numerical Data'!$1:$1))-INDEX('Talnagögn | Numerical Data'!$1:$1048576,_xlfn.XMATCH($A153,'Talnagögn | Numerical Data'!$B:$B),_xlfn.XMATCH($B$1,'Talnagögn | Numerical Data'!$1:$1))</f>
        <v>-138.78264021664998</v>
      </c>
      <c r="S153" s="292" cm="1">
        <f t="array" ref="S153">INDEX('Talnagögn | Numerical Data'!$1:$1048576,_xlfn.XMATCH($B153,'Talnagögn | Numerical Data'!$C:$C),_xlfn.XMATCH($B$5,'Talnagögn | Numerical Data'!$1:$1))/INDEX('Talnagögn | Numerical Data'!$1:$1048576,_xlfn.XMATCH($A153,'Talnagögn | Numerical Data'!$B:$B),_xlfn.XMATCH($B$1,'Talnagögn | Numerical Data'!$1:$1))-1</f>
        <v>-0.64685137399245307</v>
      </c>
      <c r="U153" s="432"/>
      <c r="V153" s="408"/>
      <c r="Y153" s="375" t="str">
        <f>'Talnagögn | Numerical Data'!$G$34</f>
        <v>Waste</v>
      </c>
      <c r="Z153" s="290" cm="1">
        <f t="array" ref="Z153">INDEX('Talnagögn | Numerical Data'!$1:$1048576, _xlfn.XMATCH($A153,'Talnagögn | Numerical Data'!$B:$B), _xlfn.XMATCH($A$1,'Talnagögn | Numerical Data'!$1:$1))</f>
        <v>222.59190359498734</v>
      </c>
      <c r="AA153" s="372">
        <f t="shared" si="1"/>
        <v>4.9581494966266362E-2</v>
      </c>
      <c r="AB153" s="296" cm="1">
        <f t="array" ref="AB153">INDEX('Talnagögn | Numerical Data'!$1:$1048576, _xlfn.XMATCH($A153,'Talnagögn | Numerical Data'!$B:$B), _xlfn.XMATCH($A$1,'Talnagögn | Numerical Data'!$1:$1))-INDEX('Talnagögn | Numerical Data'!$1:$1048576, _xlfn.XMATCH($A153,'Talnagögn | Numerical Data'!$B:$B), _xlfn.XMATCH($B$3,'Talnagögn | Numerical Data'!$1:$1))</f>
        <v>-16.793902732083069</v>
      </c>
      <c r="AC153" s="372" cm="1">
        <f t="array" ref="AC153">INDEX('Talnagögn | Numerical Data'!$1:$1048576, _xlfn.XMATCH($A153,'Talnagögn | Numerical Data'!$B:$B), _xlfn.XMATCH($A$1,'Talnagögn | Numerical Data'!$1:$1))/INDEX('Talnagögn | Numerical Data'!$1:$1048576, _xlfn.XMATCH($A153,'Talnagögn | Numerical Data'!$B:$B), _xlfn.XMATCH($B$3,'Talnagögn | Numerical Data'!$1:$1))-1</f>
        <v>-7.0154128975958296E-2</v>
      </c>
      <c r="AD153" s="290" cm="1">
        <f t="array" ref="AD153">INDEX('Talnagögn | Numerical Data'!$1:$1048576, _xlfn.XMATCH($A153,'Talnagögn | Numerical Data'!$B:$B), _xlfn.XMATCH($A$1,'Talnagögn | Numerical Data'!$1:$1))-INDEX('Talnagögn | Numerical Data'!$1:$1048576, _xlfn.XMATCH($A153,'Talnagögn | Numerical Data'!$B:$B), _xlfn.XMATCH($B$2,'Talnagögn | Numerical Data'!$1:$1))</f>
        <v>-91.372948986054951</v>
      </c>
      <c r="AE153" s="371" cm="1">
        <f t="array" ref="AE153">INDEX('Talnagögn | Numerical Data'!$1:$1048576, _xlfn.XMATCH($A153,'Talnagögn | Numerical Data'!$B:$B), _xlfn.XMATCH($A$1,'Talnagögn | Numerical Data'!$1:$1))/INDEX('Talnagögn | Numerical Data'!$1:$1048576, _xlfn.XMATCH($A153,'Talnagögn | Numerical Data'!$B:$B), _xlfn.XMATCH($B$2,'Talnagögn | Numerical Data'!$1:$1))-1</f>
        <v>-0.29102922902005179</v>
      </c>
      <c r="AF153" s="296" cm="1">
        <f t="array" ref="AF153">INDEX('Talnagögn | Numerical Data'!$1:$1048576, _xlfn.XMATCH($A153,'Talnagögn | Numerical Data'!$B:$B), _xlfn.XMATCH($A$1,'Talnagögn | Numerical Data'!$1:$1))-INDEX('Talnagögn | Numerical Data'!$1:$1048576, _xlfn.XMATCH($A153,'Talnagögn | Numerical Data'!$B:$B), _xlfn.XMATCH($B$1,'Talnagögn | Numerical Data'!$1:$1))</f>
        <v>8.0408555542836382</v>
      </c>
      <c r="AG153" s="293" cm="1">
        <f t="array" ref="AG153">INDEX('Talnagögn | Numerical Data'!$1:$1048576, _xlfn.XMATCH($A153,'Talnagögn | Numerical Data'!$B:$B), _xlfn.XMATCH($A$1,'Talnagögn | Numerical Data'!$1:$1))/INDEX('Talnagögn | Numerical Data'!$1:$1048576, _xlfn.XMATCH($A153,'Talnagögn | Numerical Data'!$B:$B), _xlfn.XMATCH($B$1,'Talnagögn | Numerical Data'!$1:$1))-1</f>
        <v>3.7477586931936813E-2</v>
      </c>
      <c r="AI153" s="375" t="str">
        <f>'Talnagögn | Numerical Data'!$G$34</f>
        <v>Waste</v>
      </c>
      <c r="AJ153" s="290" cm="1">
        <f t="array" ref="AJ153">INDEX('Talnagögn | Numerical Data'!$1:$1048576,_xlfn.XMATCH($B153,'Talnagögn | Numerical Data'!$C:$C),_xlfn.XMATCH($B$4,'Talnagögn | Numerical Data'!$1:$1))-INDEX('Talnagögn | Numerical Data'!$1:$1048576,_xlfn.XMATCH($A153,'Talnagögn | Numerical Data'!$B:$B),_xlfn.XMATCH($B$2,'Talnagögn | Numerical Data'!$1:$1))</f>
        <v>-155.176977797196</v>
      </c>
      <c r="AK153" s="371" cm="1">
        <f t="array" ref="AK153">INDEX('Talnagögn | Numerical Data'!$1:$1048576,_xlfn.XMATCH($B153,'Talnagögn | Numerical Data'!$C:$C),_xlfn.XMATCH($B$4,'Talnagögn | Numerical Data'!$1:$1))/INDEX('Talnagögn | Numerical Data'!$1:$1048576,_xlfn.XMATCH($A153,'Talnagögn | Numerical Data'!$B:$B),_xlfn.XMATCH($B$2,'Talnagögn | Numerical Data'!$1:$1))-1</f>
        <v>-0.49424952035718994</v>
      </c>
      <c r="AL153" s="290" cm="1">
        <f t="array" ref="AL153">INDEX('Talnagögn | Numerical Data'!$1:$1048576,_xlfn.XMATCH($B153,'Talnagögn | Numerical Data'!$C:$C),_xlfn.XMATCH($B$5,'Talnagögn | Numerical Data'!$1:$1))-INDEX('Talnagögn | Numerical Data'!$1:$1048576,_xlfn.XMATCH($A153,'Talnagögn | Numerical Data'!$B:$B),_xlfn.XMATCH($B$1,'Talnagögn | Numerical Data'!$1:$1))</f>
        <v>-138.78264021664998</v>
      </c>
      <c r="AM153" s="292" cm="1">
        <f t="array" ref="AM153">INDEX('Talnagögn | Numerical Data'!$1:$1048576,_xlfn.XMATCH($B153,'Talnagögn | Numerical Data'!$C:$C),_xlfn.XMATCH($B$5,'Talnagögn | Numerical Data'!$1:$1))/INDEX('Talnagögn | Numerical Data'!$1:$1048576,_xlfn.XMATCH($A153,'Talnagögn | Numerical Data'!$B:$B),_xlfn.XMATCH($B$1,'Talnagögn | Numerical Data'!$1:$1))-1</f>
        <v>-0.64685137399245307</v>
      </c>
      <c r="AN153" s="1386"/>
      <c r="AO153" s="1386"/>
      <c r="AP153" s="124"/>
      <c r="AQ153" s="1387"/>
      <c r="AR153" s="1387"/>
      <c r="AS153" s="125"/>
    </row>
    <row r="154" spans="1:45" s="21" customFormat="1" ht="21" customHeight="1" x14ac:dyDescent="0.4">
      <c r="A154" s="27" t="s">
        <v>51</v>
      </c>
      <c r="B154" s="27" t="s">
        <v>237</v>
      </c>
      <c r="C154" s="645" t="s">
        <v>243</v>
      </c>
      <c r="D154" s="131" t="s">
        <v>44</v>
      </c>
      <c r="E154" s="375" t="str">
        <f>'Talnagögn | Numerical Data'!$E$30</f>
        <v>Jarðvarmavirkjanir</v>
      </c>
      <c r="F154" s="290" cm="1">
        <f t="array" ref="F154">INDEX('Talnagögn | Numerical Data'!$1:$1048576, _xlfn.XMATCH($A154,'Talnagögn | Numerical Data'!$B:$B), _xlfn.XMATCH($A$1,'Talnagögn | Numerical Data'!$1:$1))</f>
        <v>214.07609476451782</v>
      </c>
      <c r="G154" s="372">
        <f t="shared" si="0"/>
        <v>4.7684631127813973E-2</v>
      </c>
      <c r="H154" s="296" cm="1">
        <f t="array" ref="H154">INDEX('Talnagögn | Numerical Data'!$1:$1048576, _xlfn.XMATCH($A154,'Talnagögn | Numerical Data'!$B:$B), _xlfn.XMATCH($A$1,'Talnagögn | Numerical Data'!$1:$1))-INDEX('Talnagögn | Numerical Data'!$1:$1048576, _xlfn.XMATCH($A154,'Talnagögn | Numerical Data'!$B:$B), _xlfn.XMATCH($B$3,'Talnagögn | Numerical Data'!$1:$1))</f>
        <v>-9.2201034253866965</v>
      </c>
      <c r="I154" s="372" cm="1">
        <f t="array" ref="I154">INDEX('Talnagögn | Numerical Data'!$1:$1048576, _xlfn.XMATCH($A154,'Talnagögn | Numerical Data'!$B:$B), _xlfn.XMATCH($A$1,'Talnagögn | Numerical Data'!$1:$1))/INDEX('Talnagögn | Numerical Data'!$1:$1048576, _xlfn.XMATCH($A154,'Talnagögn | Numerical Data'!$B:$B), _xlfn.XMATCH($B$3,'Talnagögn | Numerical Data'!$1:$1))-1</f>
        <v>-4.1290910907248679E-2</v>
      </c>
      <c r="J154" s="290" cm="1">
        <f t="array" ref="J154">INDEX('Talnagögn | Numerical Data'!$1:$1048576, _xlfn.XMATCH($A154,'Talnagögn | Numerical Data'!$B:$B), _xlfn.XMATCH($A$1,'Talnagögn | Numerical Data'!$1:$1))-INDEX('Talnagögn | Numerical Data'!$1:$1048576, _xlfn.XMATCH($A154,'Talnagögn | Numerical Data'!$B:$B), _xlfn.XMATCH($B$2,'Talnagögn | Numerical Data'!$1:$1))</f>
        <v>94.815623822436237</v>
      </c>
      <c r="K154" s="371" cm="1">
        <f t="array" ref="K154">INDEX('Talnagögn | Numerical Data'!$1:$1048576, _xlfn.XMATCH($A154,'Talnagögn | Numerical Data'!$B:$B), _xlfn.XMATCH($A$1,'Talnagögn | Numerical Data'!$1:$1))/INDEX('Talnagögn | Numerical Data'!$1:$1048576, _xlfn.XMATCH($A154,'Talnagögn | Numerical Data'!$B:$B), _xlfn.XMATCH($B$2,'Talnagögn | Numerical Data'!$1:$1))-1</f>
        <v>0.7950297619441995</v>
      </c>
      <c r="L154" s="290" cm="1">
        <f t="array" ref="L154">INDEX('Talnagögn | Numerical Data'!$1:$1048576, _xlfn.XMATCH($A154,'Talnagögn | Numerical Data'!$B:$B), _xlfn.XMATCH($A$1,'Talnagögn | Numerical Data'!$1:$1))-INDEX('Talnagögn | Numerical Data'!$1:$1048576, _xlfn.XMATCH($A154,'Talnagögn | Numerical Data'!$B:$B), _xlfn.XMATCH($B$1,'Talnagögn | Numerical Data'!$1:$1))</f>
        <v>153.01050512164028</v>
      </c>
      <c r="M154" s="292" cm="1">
        <f t="array" ref="M154">INDEX('Talnagögn | Numerical Data'!$1:$1048576, _xlfn.XMATCH($A154,'Talnagögn | Numerical Data'!$B:$B), _xlfn.XMATCH($A$1,'Talnagögn | Numerical Data'!$1:$1))/INDEX('Talnagögn | Numerical Data'!$1:$1048576, _xlfn.XMATCH($A154,'Talnagögn | Numerical Data'!$B:$B), _xlfn.XMATCH($B$1,'Talnagögn | Numerical Data'!$1:$1))-1</f>
        <v>2.5056747346005017</v>
      </c>
      <c r="O154" s="375" t="str">
        <f>'Talnagögn | Numerical Data'!$E$30</f>
        <v>Jarðvarmavirkjanir</v>
      </c>
      <c r="P154" s="290" cm="1">
        <f t="array" ref="P154">INDEX('Talnagögn | Numerical Data'!$1:$1048576,_xlfn.XMATCH($B154,'Talnagögn | Numerical Data'!$C:$C),_xlfn.XMATCH($B$4,'Talnagögn | Numerical Data'!$1:$1))-INDEX('Talnagögn | Numerical Data'!$1:$1048576,_xlfn.XMATCH($A154,'Talnagögn | Numerical Data'!$B:$B),_xlfn.XMATCH($B$2,'Talnagögn | Numerical Data'!$1:$1))</f>
        <v>68.051200412255156</v>
      </c>
      <c r="Q154" s="371" cm="1">
        <f t="array" ref="Q154">INDEX('Talnagögn | Numerical Data'!$1:$1048576,_xlfn.XMATCH($B154,'Talnagögn | Numerical Data'!$C:$C),_xlfn.XMATCH($B$4,'Talnagögn | Numerical Data'!$1:$1))/INDEX('Talnagögn | Numerical Data'!$1:$1048576,_xlfn.XMATCH($A154,'Talnagögn | Numerical Data'!$B:$B),_xlfn.XMATCH($B$2,'Talnagögn | Numerical Data'!$1:$1))-1</f>
        <v>0.57060985819269461</v>
      </c>
      <c r="R154" s="290" cm="1">
        <f t="array" ref="R154">INDEX('Talnagögn | Numerical Data'!$1:$1048576,_xlfn.XMATCH($B154,'Talnagögn | Numerical Data'!$C:$C),_xlfn.XMATCH($B$5,'Talnagögn | Numerical Data'!$1:$1))-INDEX('Talnagögn | Numerical Data'!$1:$1048576,_xlfn.XMATCH($A154,'Talnagögn | Numerical Data'!$B:$B),_xlfn.XMATCH($B$1,'Talnagögn | Numerical Data'!$1:$1))</f>
        <v>124.27665335911526</v>
      </c>
      <c r="S154" s="292" cm="1">
        <f t="array" ref="S154">INDEX('Talnagögn | Numerical Data'!$1:$1048576,_xlfn.XMATCH($B154,'Talnagögn | Numerical Data'!$C:$C),_xlfn.XMATCH($B$5,'Talnagögn | Numerical Data'!$1:$1))/INDEX('Talnagögn | Numerical Data'!$1:$1048576,_xlfn.XMATCH($A154,'Talnagögn | Numerical Data'!$B:$B),_xlfn.XMATCH($B$1,'Talnagögn | Numerical Data'!$1:$1))-1</f>
        <v>2.035133928713492</v>
      </c>
      <c r="U154" s="433"/>
      <c r="V154" s="408"/>
      <c r="Y154" s="375" t="str">
        <f>'Talnagögn | Numerical Data'!$G$30</f>
        <v>Geothermal Energy</v>
      </c>
      <c r="Z154" s="290" cm="1">
        <f t="array" ref="Z154">INDEX('Talnagögn | Numerical Data'!$1:$1048576, _xlfn.XMATCH($A154,'Talnagögn | Numerical Data'!$B:$B), _xlfn.XMATCH($A$1,'Talnagögn | Numerical Data'!$1:$1))</f>
        <v>214.07609476451782</v>
      </c>
      <c r="AA154" s="372">
        <f t="shared" si="1"/>
        <v>4.7684631127813973E-2</v>
      </c>
      <c r="AB154" s="296" cm="1">
        <f t="array" ref="AB154">INDEX('Talnagögn | Numerical Data'!$1:$1048576, _xlfn.XMATCH($A154,'Talnagögn | Numerical Data'!$B:$B), _xlfn.XMATCH($A$1,'Talnagögn | Numerical Data'!$1:$1))-INDEX('Talnagögn | Numerical Data'!$1:$1048576, _xlfn.XMATCH($A154,'Talnagögn | Numerical Data'!$B:$B), _xlfn.XMATCH($B$3,'Talnagögn | Numerical Data'!$1:$1))</f>
        <v>-9.2201034253866965</v>
      </c>
      <c r="AC154" s="372" cm="1">
        <f t="array" ref="AC154">INDEX('Talnagögn | Numerical Data'!$1:$1048576, _xlfn.XMATCH($A154,'Talnagögn | Numerical Data'!$B:$B), _xlfn.XMATCH($A$1,'Talnagögn | Numerical Data'!$1:$1))/INDEX('Talnagögn | Numerical Data'!$1:$1048576, _xlfn.XMATCH($A154,'Talnagögn | Numerical Data'!$B:$B), _xlfn.XMATCH($B$3,'Talnagögn | Numerical Data'!$1:$1))-1</f>
        <v>-4.1290910907248679E-2</v>
      </c>
      <c r="AD154" s="290" cm="1">
        <f t="array" ref="AD154">INDEX('Talnagögn | Numerical Data'!$1:$1048576, _xlfn.XMATCH($A154,'Talnagögn | Numerical Data'!$B:$B), _xlfn.XMATCH($A$1,'Talnagögn | Numerical Data'!$1:$1))-INDEX('Talnagögn | Numerical Data'!$1:$1048576, _xlfn.XMATCH($A154,'Talnagögn | Numerical Data'!$B:$B), _xlfn.XMATCH($B$2,'Talnagögn | Numerical Data'!$1:$1))</f>
        <v>94.815623822436237</v>
      </c>
      <c r="AE154" s="371" cm="1">
        <f t="array" ref="AE154">INDEX('Talnagögn | Numerical Data'!$1:$1048576, _xlfn.XMATCH($A154,'Talnagögn | Numerical Data'!$B:$B), _xlfn.XMATCH($A$1,'Talnagögn | Numerical Data'!$1:$1))/INDEX('Talnagögn | Numerical Data'!$1:$1048576, _xlfn.XMATCH($A154,'Talnagögn | Numerical Data'!$B:$B), _xlfn.XMATCH($B$2,'Talnagögn | Numerical Data'!$1:$1))-1</f>
        <v>0.7950297619441995</v>
      </c>
      <c r="AF154" s="290" cm="1">
        <f t="array" ref="AF154">INDEX('Talnagögn | Numerical Data'!$1:$1048576, _xlfn.XMATCH($A154,'Talnagögn | Numerical Data'!$B:$B), _xlfn.XMATCH($A$1,'Talnagögn | Numerical Data'!$1:$1))-INDEX('Talnagögn | Numerical Data'!$1:$1048576, _xlfn.XMATCH($A154,'Talnagögn | Numerical Data'!$B:$B), _xlfn.XMATCH($B$1,'Talnagögn | Numerical Data'!$1:$1))</f>
        <v>153.01050512164028</v>
      </c>
      <c r="AG154" s="292" cm="1">
        <f t="array" ref="AG154">INDEX('Talnagögn | Numerical Data'!$1:$1048576, _xlfn.XMATCH($A154,'Talnagögn | Numerical Data'!$B:$B), _xlfn.XMATCH($A$1,'Talnagögn | Numerical Data'!$1:$1))/INDEX('Talnagögn | Numerical Data'!$1:$1048576, _xlfn.XMATCH($A154,'Talnagögn | Numerical Data'!$B:$B), _xlfn.XMATCH($B$1,'Talnagögn | Numerical Data'!$1:$1))-1</f>
        <v>2.5056747346005017</v>
      </c>
      <c r="AI154" s="375" t="str">
        <f>'Talnagögn | Numerical Data'!$G$30</f>
        <v>Geothermal Energy</v>
      </c>
      <c r="AJ154" s="290" cm="1">
        <f t="array" ref="AJ154">INDEX('Talnagögn | Numerical Data'!$1:$1048576,_xlfn.XMATCH($B154,'Talnagögn | Numerical Data'!$C:$C),_xlfn.XMATCH($B$4,'Talnagögn | Numerical Data'!$1:$1))-INDEX('Talnagögn | Numerical Data'!$1:$1048576,_xlfn.XMATCH($A154,'Talnagögn | Numerical Data'!$B:$B),_xlfn.XMATCH($B$2,'Talnagögn | Numerical Data'!$1:$1))</f>
        <v>68.051200412255156</v>
      </c>
      <c r="AK154" s="371" cm="1">
        <f t="array" ref="AK154">INDEX('Talnagögn | Numerical Data'!$1:$1048576,_xlfn.XMATCH($B154,'Talnagögn | Numerical Data'!$C:$C),_xlfn.XMATCH($B$4,'Talnagögn | Numerical Data'!$1:$1))/INDEX('Talnagögn | Numerical Data'!$1:$1048576,_xlfn.XMATCH($A154,'Talnagögn | Numerical Data'!$B:$B),_xlfn.XMATCH($B$2,'Talnagögn | Numerical Data'!$1:$1))-1</f>
        <v>0.57060985819269461</v>
      </c>
      <c r="AL154" s="290" cm="1">
        <f t="array" ref="AL154">INDEX('Talnagögn | Numerical Data'!$1:$1048576,_xlfn.XMATCH($B154,'Talnagögn | Numerical Data'!$C:$C),_xlfn.XMATCH($B$5,'Talnagögn | Numerical Data'!$1:$1))-INDEX('Talnagögn | Numerical Data'!$1:$1048576,_xlfn.XMATCH($A154,'Talnagögn | Numerical Data'!$B:$B),_xlfn.XMATCH($B$1,'Talnagögn | Numerical Data'!$1:$1))</f>
        <v>124.27665335911526</v>
      </c>
      <c r="AM154" s="292" cm="1">
        <f t="array" ref="AM154">INDEX('Talnagögn | Numerical Data'!$1:$1048576,_xlfn.XMATCH($B154,'Talnagögn | Numerical Data'!$C:$C),_xlfn.XMATCH($B$5,'Talnagögn | Numerical Data'!$1:$1))/INDEX('Talnagögn | Numerical Data'!$1:$1048576,_xlfn.XMATCH($A154,'Talnagögn | Numerical Data'!$B:$B),_xlfn.XMATCH($B$1,'Talnagögn | Numerical Data'!$1:$1))-1</f>
        <v>2.035133928713492</v>
      </c>
      <c r="AN154" s="1385"/>
      <c r="AO154" s="1385"/>
      <c r="AP154" s="167"/>
      <c r="AQ154" s="1385"/>
      <c r="AR154" s="1385"/>
      <c r="AS154" s="167"/>
    </row>
    <row r="155" spans="1:45" s="21" customFormat="1" ht="21" customHeight="1" x14ac:dyDescent="0.4">
      <c r="A155" s="2" t="s">
        <v>86</v>
      </c>
      <c r="B155" s="27" t="s">
        <v>240</v>
      </c>
      <c r="C155" s="645" t="s">
        <v>246</v>
      </c>
      <c r="D155" s="131" t="s">
        <v>44</v>
      </c>
      <c r="E155" s="376" t="str">
        <f>'Talnagögn | Numerical Data'!$E$35</f>
        <v>Önnur losun</v>
      </c>
      <c r="F155" s="377" cm="1">
        <f t="array" ref="F155">INDEX('Talnagögn | Numerical Data'!$1:$1048576, _xlfn.XMATCH($A155,'Talnagögn | Numerical Data'!$B:$B), _xlfn.XMATCH($A$1,'Talnagögn | Numerical Data'!$1:$1))</f>
        <v>310.41377703770377</v>
      </c>
      <c r="G155" s="378">
        <f t="shared" si="0"/>
        <v>6.9143481299565254E-2</v>
      </c>
      <c r="H155" s="377" cm="1">
        <f t="array" ref="H155">INDEX('Talnagögn | Numerical Data'!$1:$1048576, _xlfn.XMATCH($A155,'Talnagögn | Numerical Data'!$B:$B), _xlfn.XMATCH($A$1,'Talnagögn | Numerical Data'!$1:$1))-INDEX('Talnagögn | Numerical Data'!$1:$1048576, _xlfn.XMATCH($A155,'Talnagögn | Numerical Data'!$B:$B), _xlfn.XMATCH($B$3,'Talnagögn | Numerical Data'!$1:$1))</f>
        <v>-26.983237993498733</v>
      </c>
      <c r="I155" s="378" cm="1">
        <f t="array" ref="I155">INDEX('Talnagögn | Numerical Data'!$1:$1048576, _xlfn.XMATCH($A155,'Talnagögn | Numerical Data'!$B:$B), _xlfn.XMATCH($A$1,'Talnagögn | Numerical Data'!$1:$1))/INDEX('Talnagögn | Numerical Data'!$1:$1048576, _xlfn.XMATCH($A155,'Talnagögn | Numerical Data'!$B:$B), _xlfn.XMATCH($B$3,'Talnagögn | Numerical Data'!$1:$1))-1</f>
        <v>-7.9974738339055329E-2</v>
      </c>
      <c r="J155" s="377" cm="1">
        <f t="array" ref="J155">INDEX('Talnagögn | Numerical Data'!$1:$1048576, _xlfn.XMATCH($A155,'Talnagögn | Numerical Data'!$B:$B), _xlfn.XMATCH($A$1,'Talnagögn | Numerical Data'!$1:$1))-INDEX('Talnagögn | Numerical Data'!$1:$1048576, _xlfn.XMATCH($A155,'Talnagögn | Numerical Data'!$B:$B), _xlfn.XMATCH($B$2,'Talnagögn | Numerical Data'!$1:$1))</f>
        <v>-337.5679541158006</v>
      </c>
      <c r="K155" s="379" cm="1">
        <f t="array" ref="K155">INDEX('Talnagögn | Numerical Data'!$1:$1048576, _xlfn.XMATCH($A155,'Talnagögn | Numerical Data'!$B:$B), _xlfn.XMATCH($A$1,'Talnagögn | Numerical Data'!$1:$1))/INDEX('Talnagögn | Numerical Data'!$1:$1048576, _xlfn.XMATCH($A155,'Talnagögn | Numerical Data'!$B:$B), _xlfn.XMATCH($B$2,'Talnagögn | Numerical Data'!$1:$1))-1</f>
        <v>-0.52095288784589522</v>
      </c>
      <c r="L155" s="377" cm="1">
        <f t="array" ref="L155">INDEX('Talnagögn | Numerical Data'!$1:$1048576, _xlfn.XMATCH($A155,'Talnagögn | Numerical Data'!$B:$B), _xlfn.XMATCH($A$1,'Talnagögn | Numerical Data'!$1:$1))-INDEX('Talnagögn | Numerical Data'!$1:$1048576, _xlfn.XMATCH($A155,'Talnagögn | Numerical Data'!$B:$B), _xlfn.XMATCH($B$1,'Talnagögn | Numerical Data'!$1:$1))</f>
        <v>-285.02207675830005</v>
      </c>
      <c r="M155" s="380" cm="1">
        <f t="array" ref="M155">INDEX('Talnagögn | Numerical Data'!$1:$1048576, _xlfn.XMATCH($A155,'Talnagögn | Numerical Data'!$B:$B), _xlfn.XMATCH($A$1,'Talnagögn | Numerical Data'!$1:$1))/INDEX('Talnagögn | Numerical Data'!$1:$1048576, _xlfn.XMATCH($A155,'Talnagögn | Numerical Data'!$B:$B), _xlfn.XMATCH($B$1,'Talnagögn | Numerical Data'!$1:$1))-1</f>
        <v>-0.47867805564820509</v>
      </c>
      <c r="O155" s="376" t="str">
        <f>'Talnagögn | Numerical Data'!$E$35</f>
        <v>Önnur losun</v>
      </c>
      <c r="P155" s="377" cm="1">
        <f t="array" ref="P155">INDEX('Talnagögn | Numerical Data'!$1:$1048576,_xlfn.XMATCH($B155,'Talnagögn | Numerical Data'!$C:$C),_xlfn.XMATCH($B$4,'Talnagögn | Numerical Data'!$1:$1))-INDEX('Talnagögn | Numerical Data'!$1:$1048576,_xlfn.XMATCH($A155,'Talnagögn | Numerical Data'!$B:$B),_xlfn.XMATCH($B$2,'Talnagögn | Numerical Data'!$1:$1))</f>
        <v>-413.72065365490562</v>
      </c>
      <c r="Q155" s="379" cm="1">
        <f t="array" ref="Q155">INDEX('Talnagögn | Numerical Data'!$1:$1048576,_xlfn.XMATCH($B155,'Talnagögn | Numerical Data'!$C:$C),_xlfn.XMATCH($B$4,'Talnagögn | Numerical Data'!$1:$1))/INDEX('Talnagögn | Numerical Data'!$1:$1048576,_xlfn.XMATCH($A155,'Talnagögn | Numerical Data'!$B:$B),_xlfn.XMATCH($B$2,'Talnagögn | Numerical Data'!$1:$1))-1</f>
        <v>-0.63847579918406194</v>
      </c>
      <c r="R155" s="377" cm="1">
        <f t="array" ref="R155">INDEX('Talnagögn | Numerical Data'!$1:$1048576,_xlfn.XMATCH($B155,'Talnagögn | Numerical Data'!$C:$C),_xlfn.XMATCH($B$5,'Talnagögn | Numerical Data'!$1:$1))-INDEX('Talnagögn | Numerical Data'!$1:$1048576,_xlfn.XMATCH($A155,'Talnagögn | Numerical Data'!$B:$B),_xlfn.XMATCH($B$1,'Talnagögn | Numerical Data'!$1:$1))</f>
        <v>-515.55662480034289</v>
      </c>
      <c r="S155" s="380" cm="1">
        <f t="array" ref="S155">INDEX('Talnagögn | Numerical Data'!$1:$1048576,_xlfn.XMATCH($B155,'Talnagögn | Numerical Data'!$C:$C),_xlfn.XMATCH($B$5,'Talnagögn | Numerical Data'!$1:$1))/INDEX('Talnagögn | Numerical Data'!$1:$1048576,_xlfn.XMATCH($A155,'Talnagögn | Numerical Data'!$B:$B),_xlfn.XMATCH($B$1,'Talnagögn | Numerical Data'!$1:$1))-1</f>
        <v>-0.86584746537109347</v>
      </c>
      <c r="U155" s="432"/>
      <c r="V155" s="408"/>
      <c r="Y155" s="376" t="str">
        <f>'Talnagögn | Numerical Data'!$G$35</f>
        <v>Other Emissions</v>
      </c>
      <c r="Z155" s="377" cm="1">
        <f t="array" ref="Z155">INDEX('Talnagögn | Numerical Data'!$1:$1048576, _xlfn.XMATCH($A155,'Talnagögn | Numerical Data'!$B:$B), _xlfn.XMATCH($A$1,'Talnagögn | Numerical Data'!$1:$1))</f>
        <v>310.41377703770377</v>
      </c>
      <c r="AA155" s="378">
        <f t="shared" si="1"/>
        <v>6.9143481299565254E-2</v>
      </c>
      <c r="AB155" s="377" cm="1">
        <f t="array" ref="AB155">INDEX('Talnagögn | Numerical Data'!$1:$1048576, _xlfn.XMATCH($A155,'Talnagögn | Numerical Data'!$B:$B), _xlfn.XMATCH($A$1,'Talnagögn | Numerical Data'!$1:$1))-INDEX('Talnagögn | Numerical Data'!$1:$1048576, _xlfn.XMATCH($A155,'Talnagögn | Numerical Data'!$B:$B), _xlfn.XMATCH($B$3,'Talnagögn | Numerical Data'!$1:$1))</f>
        <v>-26.983237993498733</v>
      </c>
      <c r="AC155" s="378" cm="1">
        <f t="array" ref="AC155">INDEX('Talnagögn | Numerical Data'!$1:$1048576, _xlfn.XMATCH($A155,'Talnagögn | Numerical Data'!$B:$B), _xlfn.XMATCH($A$1,'Talnagögn | Numerical Data'!$1:$1))/INDEX('Talnagögn | Numerical Data'!$1:$1048576, _xlfn.XMATCH($A155,'Talnagögn | Numerical Data'!$B:$B), _xlfn.XMATCH($B$3,'Talnagögn | Numerical Data'!$1:$1))-1</f>
        <v>-7.9974738339055329E-2</v>
      </c>
      <c r="AD155" s="377" cm="1">
        <f t="array" ref="AD155">INDEX('Talnagögn | Numerical Data'!$1:$1048576, _xlfn.XMATCH($A155,'Talnagögn | Numerical Data'!$B:$B), _xlfn.XMATCH($A$1,'Talnagögn | Numerical Data'!$1:$1))-INDEX('Talnagögn | Numerical Data'!$1:$1048576, _xlfn.XMATCH($A155,'Talnagögn | Numerical Data'!$B:$B), _xlfn.XMATCH($B$2,'Talnagögn | Numerical Data'!$1:$1))</f>
        <v>-337.5679541158006</v>
      </c>
      <c r="AE155" s="379" cm="1">
        <f t="array" ref="AE155">INDEX('Talnagögn | Numerical Data'!$1:$1048576, _xlfn.XMATCH($A155,'Talnagögn | Numerical Data'!$B:$B), _xlfn.XMATCH($A$1,'Talnagögn | Numerical Data'!$1:$1))/INDEX('Talnagögn | Numerical Data'!$1:$1048576, _xlfn.XMATCH($A155,'Talnagögn | Numerical Data'!$B:$B), _xlfn.XMATCH($B$2,'Talnagögn | Numerical Data'!$1:$1))-1</f>
        <v>-0.52095288784589522</v>
      </c>
      <c r="AF155" s="377" cm="1">
        <f t="array" ref="AF155">INDEX('Talnagögn | Numerical Data'!$1:$1048576, _xlfn.XMATCH($A155,'Talnagögn | Numerical Data'!$B:$B), _xlfn.XMATCH($A$1,'Talnagögn | Numerical Data'!$1:$1))-INDEX('Talnagögn | Numerical Data'!$1:$1048576, _xlfn.XMATCH($A155,'Talnagögn | Numerical Data'!$B:$B), _xlfn.XMATCH($B$1,'Talnagögn | Numerical Data'!$1:$1))</f>
        <v>-285.02207675830005</v>
      </c>
      <c r="AG155" s="380" cm="1">
        <f t="array" ref="AG155">INDEX('Talnagögn | Numerical Data'!$1:$1048576, _xlfn.XMATCH($A155,'Talnagögn | Numerical Data'!$B:$B), _xlfn.XMATCH($A$1,'Talnagögn | Numerical Data'!$1:$1))/INDEX('Talnagögn | Numerical Data'!$1:$1048576, _xlfn.XMATCH($A155,'Talnagögn | Numerical Data'!$B:$B), _xlfn.XMATCH($B$1,'Talnagögn | Numerical Data'!$1:$1))-1</f>
        <v>-0.47867805564820509</v>
      </c>
      <c r="AI155" s="376" t="str">
        <f>'Talnagögn | Numerical Data'!$G$35</f>
        <v>Other Emissions</v>
      </c>
      <c r="AJ155" s="377" cm="1">
        <f t="array" ref="AJ155">INDEX('Talnagögn | Numerical Data'!$1:$1048576,_xlfn.XMATCH($B155,'Talnagögn | Numerical Data'!$C:$C),_xlfn.XMATCH($B$4,'Talnagögn | Numerical Data'!$1:$1))-INDEX('Talnagögn | Numerical Data'!$1:$1048576,_xlfn.XMATCH($A155,'Talnagögn | Numerical Data'!$B:$B),_xlfn.XMATCH($B$2,'Talnagögn | Numerical Data'!$1:$1))</f>
        <v>-413.72065365490562</v>
      </c>
      <c r="AK155" s="379" cm="1">
        <f t="array" ref="AK155">INDEX('Talnagögn | Numerical Data'!$1:$1048576,_xlfn.XMATCH($B155,'Talnagögn | Numerical Data'!$C:$C),_xlfn.XMATCH($B$4,'Talnagögn | Numerical Data'!$1:$1))/INDEX('Talnagögn | Numerical Data'!$1:$1048576,_xlfn.XMATCH($A155,'Talnagögn | Numerical Data'!$B:$B),_xlfn.XMATCH($B$2,'Talnagögn | Numerical Data'!$1:$1))-1</f>
        <v>-0.63847579918406194</v>
      </c>
      <c r="AL155" s="377" cm="1">
        <f t="array" ref="AL155">INDEX('Talnagögn | Numerical Data'!$1:$1048576,_xlfn.XMATCH($B155,'Talnagögn | Numerical Data'!$C:$C),_xlfn.XMATCH($B$5,'Talnagögn | Numerical Data'!$1:$1))-INDEX('Talnagögn | Numerical Data'!$1:$1048576,_xlfn.XMATCH($A155,'Talnagögn | Numerical Data'!$B:$B),_xlfn.XMATCH($B$1,'Talnagögn | Numerical Data'!$1:$1))</f>
        <v>-515.55662480034289</v>
      </c>
      <c r="AM155" s="380" cm="1">
        <f t="array" ref="AM155">INDEX('Talnagögn | Numerical Data'!$1:$1048576,_xlfn.XMATCH($B155,'Talnagögn | Numerical Data'!$C:$C),_xlfn.XMATCH($B$5,'Talnagögn | Numerical Data'!$1:$1))/INDEX('Talnagögn | Numerical Data'!$1:$1048576,_xlfn.XMATCH($A155,'Talnagögn | Numerical Data'!$B:$B),_xlfn.XMATCH($B$1,'Talnagögn | Numerical Data'!$1:$1))-1</f>
        <v>-0.86584746537109347</v>
      </c>
      <c r="AN155" s="1386"/>
      <c r="AO155" s="1386"/>
      <c r="AP155" s="125"/>
      <c r="AQ155" s="1387"/>
      <c r="AR155" s="1387"/>
      <c r="AS155" s="125"/>
    </row>
    <row r="156" spans="1:45" s="21" customFormat="1" ht="28.5" customHeight="1" x14ac:dyDescent="0.4">
      <c r="A156" s="2" t="s">
        <v>45</v>
      </c>
      <c r="B156" s="27" t="s">
        <v>227</v>
      </c>
      <c r="C156" s="645" t="s">
        <v>234</v>
      </c>
      <c r="D156" s="131" t="s">
        <v>44</v>
      </c>
      <c r="E156" s="381" t="s">
        <v>12</v>
      </c>
      <c r="F156" s="382" cm="1">
        <f t="array" ref="F156">INDEX('Talnagögn | Numerical Data'!$1:$1048576, _xlfn.XMATCH($A156,'Talnagögn | Numerical Data'!$B:$B), _xlfn.XMATCH($A$1,'Talnagögn | Numerical Data'!$1:$1))</f>
        <v>4489.4149268075043</v>
      </c>
      <c r="G156" s="383">
        <f t="shared" si="0"/>
        <v>1</v>
      </c>
      <c r="H156" s="382" cm="1">
        <f t="array" ref="H156">INDEX('Talnagögn | Numerical Data'!$1:$1048576, _xlfn.XMATCH($A156,'Talnagögn | Numerical Data'!$B:$B), _xlfn.XMATCH($A$1,'Talnagögn | Numerical Data'!$1:$1))-INDEX('Talnagögn | Numerical Data'!$1:$1048576, _xlfn.XMATCH($A156,'Talnagögn | Numerical Data'!$B:$B), _xlfn.XMATCH($B$3,'Talnagögn | Numerical Data'!$1:$1))</f>
        <v>-292.67955778437681</v>
      </c>
      <c r="I156" s="384" cm="1">
        <f t="array" ref="I156">INDEX('Talnagögn | Numerical Data'!$1:$1048576, _xlfn.XMATCH($A156,'Talnagögn | Numerical Data'!$B:$B), _xlfn.XMATCH($A$1,'Talnagögn | Numerical Data'!$1:$1))/INDEX('Talnagögn | Numerical Data'!$1:$1048576, _xlfn.XMATCH($A156,'Talnagögn | Numerical Data'!$B:$B), _xlfn.XMATCH($B$3,'Talnagögn | Numerical Data'!$1:$1))-1</f>
        <v>-6.1203215186860782E-2</v>
      </c>
      <c r="J156" s="382" cm="1">
        <f t="array" ref="J156">INDEX('Talnagögn | Numerical Data'!$1:$1048576, _xlfn.XMATCH($A156,'Talnagögn | Numerical Data'!$B:$B), _xlfn.XMATCH($A$1,'Talnagögn | Numerical Data'!$1:$1))-INDEX('Talnagögn | Numerical Data'!$1:$1048576, _xlfn.XMATCH($A156,'Talnagögn | Numerical Data'!$B:$B), _xlfn.XMATCH($B$2,'Talnagögn | Numerical Data'!$1:$1))</f>
        <v>381.92827041864712</v>
      </c>
      <c r="K156" s="384" cm="1">
        <f t="array" ref="K156">INDEX('Talnagögn | Numerical Data'!$1:$1048576, _xlfn.XMATCH($A156,'Talnagögn | Numerical Data'!$B:$B), _xlfn.XMATCH($A$1,'Talnagögn | Numerical Data'!$1:$1))/INDEX('Talnagögn | Numerical Data'!$1:$1048576, _xlfn.XMATCH($A156,'Talnagögn | Numerical Data'!$B:$B), _xlfn.XMATCH($B$2,'Talnagögn | Numerical Data'!$1:$1))-1</f>
        <v>9.298344763325983E-2</v>
      </c>
      <c r="L156" s="382" cm="1">
        <f t="array" ref="L156">INDEX('Talnagögn | Numerical Data'!$1:$1048576, _xlfn.XMATCH($A156,'Talnagögn | Numerical Data'!$B:$B), _xlfn.XMATCH($A$1,'Talnagögn | Numerical Data'!$1:$1))-INDEX('Talnagögn | Numerical Data'!$1:$1048576, _xlfn.XMATCH($A156,'Talnagögn | Numerical Data'!$B:$B), _xlfn.XMATCH($B$1,'Talnagögn | Numerical Data'!$1:$1))</f>
        <v>810.35162283860382</v>
      </c>
      <c r="M156" s="388" cm="1">
        <f t="array" ref="M156">INDEX('Talnagögn | Numerical Data'!$1:$1048576, _xlfn.XMATCH($A156,'Talnagögn | Numerical Data'!$B:$B), _xlfn.XMATCH($A$1,'Talnagögn | Numerical Data'!$1:$1))/INDEX('Talnagögn | Numerical Data'!$1:$1048576, _xlfn.XMATCH($A156,'Talnagögn | Numerical Data'!$B:$B), _xlfn.XMATCH($B$1,'Talnagögn | Numerical Data'!$1:$1))-1</f>
        <v>0.22026030972731903</v>
      </c>
      <c r="O156" s="381" t="s">
        <v>12</v>
      </c>
      <c r="P156" s="382" cm="1">
        <f t="array" ref="P156">INDEX('Talnagögn | Numerical Data'!$1:$1048576,_xlfn.XMATCH($B156,'Talnagögn | Numerical Data'!$C:$C),_xlfn.XMATCH($B$4,'Talnagögn | Numerical Data'!$1:$1))-INDEX('Talnagögn | Numerical Data'!$1:$1048576,_xlfn.XMATCH($A156,'Talnagögn | Numerical Data'!$B:$B),_xlfn.XMATCH($B$2,'Talnagögn | Numerical Data'!$1:$1))</f>
        <v>287.27479338417288</v>
      </c>
      <c r="Q156" s="618" cm="1">
        <f t="array" ref="Q156">INDEX('Talnagögn | Numerical Data'!$1:$1048576,_xlfn.XMATCH($B156,'Talnagögn | Numerical Data'!$C:$C),_xlfn.XMATCH($B$4,'Talnagögn | Numerical Data'!$1:$1))/INDEX('Talnagögn | Numerical Data'!$1:$1048576,_xlfn.XMATCH($A156,'Talnagögn | Numerical Data'!$B:$B),_xlfn.XMATCH($B$2,'Talnagögn | Numerical Data'!$1:$1))-1</f>
        <v>6.9939312629863526E-2</v>
      </c>
      <c r="R156" s="382" cm="1">
        <f t="array" ref="R156">INDEX('Talnagögn | Numerical Data'!$1:$1048576,_xlfn.XMATCH($B156,'Talnagögn | Numerical Data'!$C:$C),_xlfn.XMATCH($B$5,'Talnagögn | Numerical Data'!$1:$1))-INDEX('Talnagögn | Numerical Data'!$1:$1048576,_xlfn.XMATCH($A156,'Talnagögn | Numerical Data'!$B:$B),_xlfn.XMATCH($B$1,'Talnagögn | Numerical Data'!$1:$1))</f>
        <v>-618.11390242107746</v>
      </c>
      <c r="S156" s="388" cm="1">
        <f t="array" ref="S156">INDEX('Talnagögn | Numerical Data'!$1:$1048576,_xlfn.XMATCH($B156,'Talnagögn | Numerical Data'!$C:$C),_xlfn.XMATCH($B$5,'Talnagögn | Numerical Data'!$1:$1))/INDEX('Talnagögn | Numerical Data'!$1:$1048576,_xlfn.XMATCH($A156,'Talnagögn | Numerical Data'!$B:$B),_xlfn.XMATCH($B$1,'Talnagögn | Numerical Data'!$1:$1))-1</f>
        <v>-0.16800849872690926</v>
      </c>
      <c r="U156" s="61"/>
      <c r="V156" s="408"/>
      <c r="Y156" s="381" t="s">
        <v>145</v>
      </c>
      <c r="Z156" s="382" cm="1">
        <f t="array" ref="Z156">INDEX('Talnagögn | Numerical Data'!$1:$1048576, _xlfn.XMATCH($A156,'Talnagögn | Numerical Data'!$B:$B), _xlfn.XMATCH($A$1,'Talnagögn | Numerical Data'!$1:$1))</f>
        <v>4489.4149268075043</v>
      </c>
      <c r="AA156" s="383">
        <f t="shared" si="1"/>
        <v>1</v>
      </c>
      <c r="AB156" s="382" cm="1">
        <f t="array" ref="AB156">INDEX('Talnagögn | Numerical Data'!$1:$1048576, _xlfn.XMATCH($A156,'Talnagögn | Numerical Data'!$B:$B), _xlfn.XMATCH($A$1,'Talnagögn | Numerical Data'!$1:$1))-INDEX('Talnagögn | Numerical Data'!$1:$1048576, _xlfn.XMATCH($A156,'Talnagögn | Numerical Data'!$B:$B), _xlfn.XMATCH($B$3,'Talnagögn | Numerical Data'!$1:$1))</f>
        <v>-292.67955778437681</v>
      </c>
      <c r="AC156" s="384" cm="1">
        <f t="array" ref="AC156">INDEX('Talnagögn | Numerical Data'!$1:$1048576, _xlfn.XMATCH($A156,'Talnagögn | Numerical Data'!$B:$B), _xlfn.XMATCH($A$1,'Talnagögn | Numerical Data'!$1:$1))/INDEX('Talnagögn | Numerical Data'!$1:$1048576, _xlfn.XMATCH($A156,'Talnagögn | Numerical Data'!$B:$B), _xlfn.XMATCH($B$3,'Talnagögn | Numerical Data'!$1:$1))-1</f>
        <v>-6.1203215186860782E-2</v>
      </c>
      <c r="AD156" s="382" cm="1">
        <f t="array" ref="AD156">INDEX('Talnagögn | Numerical Data'!$1:$1048576, _xlfn.XMATCH($A156,'Talnagögn | Numerical Data'!$B:$B), _xlfn.XMATCH($A$1,'Talnagögn | Numerical Data'!$1:$1))-INDEX('Talnagögn | Numerical Data'!$1:$1048576, _xlfn.XMATCH($A156,'Talnagögn | Numerical Data'!$B:$B), _xlfn.XMATCH($B$2,'Talnagögn | Numerical Data'!$1:$1))</f>
        <v>381.92827041864712</v>
      </c>
      <c r="AE156" s="384" cm="1">
        <f t="array" ref="AE156">INDEX('Talnagögn | Numerical Data'!$1:$1048576, _xlfn.XMATCH($A156,'Talnagögn | Numerical Data'!$B:$B), _xlfn.XMATCH($A$1,'Talnagögn | Numerical Data'!$1:$1))/INDEX('Talnagögn | Numerical Data'!$1:$1048576, _xlfn.XMATCH($A156,'Talnagögn | Numerical Data'!$B:$B), _xlfn.XMATCH($B$2,'Talnagögn | Numerical Data'!$1:$1))-1</f>
        <v>9.298344763325983E-2</v>
      </c>
      <c r="AF156" s="382" cm="1">
        <f t="array" ref="AF156">INDEX('Talnagögn | Numerical Data'!$1:$1048576, _xlfn.XMATCH($A156,'Talnagögn | Numerical Data'!$B:$B), _xlfn.XMATCH($A$1,'Talnagögn | Numerical Data'!$1:$1))-INDEX('Talnagögn | Numerical Data'!$1:$1048576, _xlfn.XMATCH($A156,'Talnagögn | Numerical Data'!$B:$B), _xlfn.XMATCH($B$1,'Talnagögn | Numerical Data'!$1:$1))</f>
        <v>810.35162283860382</v>
      </c>
      <c r="AG156" s="388" cm="1">
        <f t="array" ref="AG156">INDEX('Talnagögn | Numerical Data'!$1:$1048576, _xlfn.XMATCH($A156,'Talnagögn | Numerical Data'!$B:$B), _xlfn.XMATCH($A$1,'Talnagögn | Numerical Data'!$1:$1))/INDEX('Talnagögn | Numerical Data'!$1:$1048576, _xlfn.XMATCH($A156,'Talnagögn | Numerical Data'!$B:$B), _xlfn.XMATCH($B$1,'Talnagögn | Numerical Data'!$1:$1))-1</f>
        <v>0.22026030972731903</v>
      </c>
      <c r="AI156" s="381" t="s">
        <v>12</v>
      </c>
      <c r="AJ156" s="382" cm="1">
        <f t="array" ref="AJ156">INDEX('Talnagögn | Numerical Data'!$1:$1048576,_xlfn.XMATCH($B156,'Talnagögn | Numerical Data'!$C:$C),_xlfn.XMATCH($B$4,'Talnagögn | Numerical Data'!$1:$1))-INDEX('Talnagögn | Numerical Data'!$1:$1048576,_xlfn.XMATCH($A156,'Talnagögn | Numerical Data'!$B:$B),_xlfn.XMATCH($B$2,'Talnagögn | Numerical Data'!$1:$1))</f>
        <v>287.27479338417288</v>
      </c>
      <c r="AK156" s="618" cm="1">
        <f t="array" ref="AK156">INDEX('Talnagögn | Numerical Data'!$1:$1048576,_xlfn.XMATCH($B156,'Talnagögn | Numerical Data'!$C:$C),_xlfn.XMATCH($B$4,'Talnagögn | Numerical Data'!$1:$1))/INDEX('Talnagögn | Numerical Data'!$1:$1048576,_xlfn.XMATCH($A156,'Talnagögn | Numerical Data'!$B:$B),_xlfn.XMATCH($B$2,'Talnagögn | Numerical Data'!$1:$1))-1</f>
        <v>6.9939312629863526E-2</v>
      </c>
      <c r="AL156" s="382" cm="1">
        <f t="array" ref="AL156">INDEX('Talnagögn | Numerical Data'!$1:$1048576,_xlfn.XMATCH($B156,'Talnagögn | Numerical Data'!$C:$C),_xlfn.XMATCH($B$5,'Talnagögn | Numerical Data'!$1:$1))-INDEX('Talnagögn | Numerical Data'!$1:$1048576,_xlfn.XMATCH($A156,'Talnagögn | Numerical Data'!$B:$B),_xlfn.XMATCH($B$1,'Talnagögn | Numerical Data'!$1:$1))</f>
        <v>-618.11390242107746</v>
      </c>
      <c r="AM156" s="388" cm="1">
        <f t="array" ref="AM156">INDEX('Talnagögn | Numerical Data'!$1:$1048576,_xlfn.XMATCH($B156,'Talnagögn | Numerical Data'!$C:$C),_xlfn.XMATCH($B$5,'Talnagögn | Numerical Data'!$1:$1))/INDEX('Talnagögn | Numerical Data'!$1:$1048576,_xlfn.XMATCH($A156,'Talnagögn | Numerical Data'!$B:$B),_xlfn.XMATCH($B$1,'Talnagögn | Numerical Data'!$1:$1))-1</f>
        <v>-0.16800849872690926</v>
      </c>
      <c r="AN156" s="1384"/>
      <c r="AO156" s="1384"/>
      <c r="AP156" s="117"/>
      <c r="AQ156" s="1384"/>
      <c r="AR156" s="1384"/>
      <c r="AS156" s="117"/>
    </row>
    <row r="157" spans="1:45" s="21" customFormat="1" ht="13.5" customHeight="1" x14ac:dyDescent="0.4">
      <c r="A157" s="632" t="str">
        <f>"Losun Íslands "&amp;$A$1</f>
        <v>Losun Íslands 2025</v>
      </c>
      <c r="B157" s="632" t="str">
        <f>"Iceland's Emissions in "&amp;$A$1</f>
        <v>Iceland's Emissions in 2025</v>
      </c>
      <c r="C157" s="648" t="s">
        <v>44</v>
      </c>
      <c r="D157" s="131" t="s">
        <v>44</v>
      </c>
      <c r="E157" s="132"/>
      <c r="F157" s="115"/>
      <c r="G157" s="115"/>
      <c r="H157" s="115"/>
      <c r="I157" s="115"/>
      <c r="J157" s="115"/>
      <c r="K157" s="115"/>
      <c r="L157" s="115"/>
      <c r="M157" s="115"/>
      <c r="N157" s="115"/>
      <c r="O157" s="115"/>
      <c r="P157" s="115"/>
      <c r="Q157" s="115"/>
      <c r="R157" s="115"/>
      <c r="S157" s="115"/>
      <c r="T157" s="115"/>
      <c r="U157" s="115"/>
      <c r="V157" s="414"/>
      <c r="W157" s="120"/>
      <c r="X157" s="120"/>
      <c r="Z157" s="396"/>
      <c r="AA157" s="396"/>
      <c r="AB157" s="396"/>
      <c r="AC157" s="398"/>
      <c r="AD157" s="178"/>
      <c r="AE157" s="178"/>
      <c r="AF157" s="178"/>
      <c r="AG157" s="178"/>
      <c r="AH157" s="178"/>
      <c r="AI157" s="178"/>
      <c r="AJ157" s="178"/>
      <c r="AK157" s="178"/>
      <c r="AL157" s="178"/>
      <c r="AM157" s="178"/>
      <c r="AN157" s="178"/>
      <c r="AO157" s="178"/>
      <c r="AP157" s="178"/>
      <c r="AQ157" s="178"/>
      <c r="AR157" s="178"/>
      <c r="AS157" s="178"/>
    </row>
    <row r="158" spans="1:45" s="21" customFormat="1" ht="13.5" customHeight="1" x14ac:dyDescent="0.4">
      <c r="A158" s="27"/>
      <c r="B158" s="648"/>
      <c r="C158" s="648"/>
      <c r="D158" s="131"/>
      <c r="E158" s="132"/>
      <c r="F158" s="115"/>
      <c r="G158" s="115"/>
      <c r="H158" s="115"/>
      <c r="I158" s="115"/>
      <c r="J158" s="115"/>
      <c r="K158" s="115"/>
      <c r="L158" s="115"/>
      <c r="M158" s="115"/>
      <c r="N158" s="115"/>
      <c r="O158" s="115"/>
      <c r="P158" s="115"/>
      <c r="Q158" s="115"/>
      <c r="R158" s="115"/>
      <c r="S158" s="115"/>
      <c r="T158" s="115"/>
      <c r="U158" s="115"/>
      <c r="V158" s="414"/>
      <c r="W158" s="120"/>
      <c r="X158" s="120"/>
      <c r="Z158" s="396"/>
      <c r="AA158" s="396"/>
      <c r="AB158" s="396"/>
      <c r="AC158" s="398"/>
      <c r="AD158" s="178"/>
      <c r="AE158" s="178"/>
      <c r="AF158" s="178"/>
      <c r="AG158" s="178"/>
      <c r="AH158" s="178"/>
      <c r="AI158" s="178"/>
      <c r="AJ158" s="178"/>
      <c r="AK158" s="178"/>
      <c r="AL158" s="178"/>
      <c r="AM158" s="178"/>
      <c r="AN158" s="178"/>
      <c r="AO158" s="178"/>
      <c r="AP158" s="178"/>
      <c r="AQ158" s="178"/>
      <c r="AR158" s="178"/>
      <c r="AS158" s="178"/>
    </row>
    <row r="159" spans="1:45" x14ac:dyDescent="0.4">
      <c r="B159" s="645" t="s">
        <v>44</v>
      </c>
      <c r="V159" s="162"/>
    </row>
    <row r="160" spans="1:45" x14ac:dyDescent="0.4">
      <c r="V160" s="162"/>
    </row>
    <row r="161" spans="22:22" x14ac:dyDescent="0.4">
      <c r="V161" s="162"/>
    </row>
    <row r="162" spans="22:22" x14ac:dyDescent="0.4">
      <c r="V162" s="162"/>
    </row>
    <row r="163" spans="22:22" x14ac:dyDescent="0.4">
      <c r="V163" s="162"/>
    </row>
    <row r="164" spans="22:22" x14ac:dyDescent="0.4">
      <c r="V164" s="162"/>
    </row>
    <row r="165" spans="22:22" x14ac:dyDescent="0.4">
      <c r="V165" s="162"/>
    </row>
    <row r="166" spans="22:22" x14ac:dyDescent="0.4">
      <c r="V166" s="162"/>
    </row>
    <row r="167" spans="22:22" x14ac:dyDescent="0.4">
      <c r="V167" s="162"/>
    </row>
    <row r="168" spans="22:22" x14ac:dyDescent="0.4">
      <c r="V168" s="162"/>
    </row>
    <row r="169" spans="22:22" x14ac:dyDescent="0.4">
      <c r="V169" s="162"/>
    </row>
    <row r="170" spans="22:22" x14ac:dyDescent="0.4">
      <c r="V170" s="162"/>
    </row>
    <row r="171" spans="22:22" x14ac:dyDescent="0.4">
      <c r="V171" s="162"/>
    </row>
    <row r="172" spans="22:22" x14ac:dyDescent="0.4">
      <c r="V172" s="162"/>
    </row>
    <row r="173" spans="22:22" x14ac:dyDescent="0.4">
      <c r="V173" s="162"/>
    </row>
    <row r="174" spans="22:22" x14ac:dyDescent="0.4">
      <c r="V174" s="162"/>
    </row>
    <row r="175" spans="22:22" x14ac:dyDescent="0.4">
      <c r="V175" s="162"/>
    </row>
    <row r="176" spans="22:22" x14ac:dyDescent="0.4">
      <c r="V176" s="162"/>
    </row>
    <row r="177" spans="1:45" x14ac:dyDescent="0.4">
      <c r="V177" s="162"/>
    </row>
    <row r="178" spans="1:45" x14ac:dyDescent="0.4">
      <c r="V178" s="162"/>
    </row>
    <row r="179" spans="1:45" x14ac:dyDescent="0.4">
      <c r="V179" s="162"/>
    </row>
    <row r="180" spans="1:45" x14ac:dyDescent="0.4">
      <c r="V180" s="162"/>
    </row>
    <row r="181" spans="1:45" s="723" customFormat="1" ht="27" customHeight="1" x14ac:dyDescent="0.4">
      <c r="A181" s="730"/>
      <c r="B181" s="730"/>
      <c r="C181" s="730"/>
      <c r="E181" s="723" t="str">
        <f>$E$49</f>
        <v>SÖGULEG LOSUN</v>
      </c>
      <c r="F181" s="394"/>
      <c r="G181" s="394"/>
      <c r="H181" s="394"/>
      <c r="I181" s="394"/>
      <c r="J181" s="394"/>
      <c r="K181" s="394"/>
      <c r="L181" s="394"/>
      <c r="M181" s="394"/>
      <c r="N181" s="394"/>
      <c r="O181" s="394"/>
      <c r="P181" s="394"/>
      <c r="Q181" s="394"/>
      <c r="R181" s="394"/>
      <c r="S181" s="394"/>
      <c r="T181" s="394"/>
      <c r="U181" s="394"/>
      <c r="V181" s="412"/>
      <c r="W181" s="393"/>
      <c r="X181" s="393"/>
      <c r="Y181" s="723" t="str">
        <f>UPPER('Talnagögn | Numerical Data'!$G$5)</f>
        <v>HISTORICAL EMISSIONS</v>
      </c>
      <c r="Z181" s="731"/>
      <c r="AA181" s="731"/>
      <c r="AB181" s="731"/>
      <c r="AC181" s="731"/>
      <c r="AD181" s="731"/>
      <c r="AE181" s="731"/>
      <c r="AF181" s="731"/>
      <c r="AG181" s="731"/>
      <c r="AH181" s="731"/>
      <c r="AI181" s="731"/>
      <c r="AJ181" s="731"/>
      <c r="AK181" s="731"/>
      <c r="AL181" s="731"/>
      <c r="AM181" s="731"/>
      <c r="AN181" s="731"/>
      <c r="AO181" s="731"/>
      <c r="AP181" s="731"/>
      <c r="AQ181" s="731"/>
      <c r="AR181" s="731"/>
      <c r="AS181" s="731"/>
    </row>
    <row r="182" spans="1:45" s="21" customFormat="1" ht="13.35" customHeight="1" x14ac:dyDescent="0.4">
      <c r="A182" s="27"/>
      <c r="B182" s="645"/>
      <c r="C182" s="645"/>
      <c r="D182" s="131" t="s">
        <v>44</v>
      </c>
      <c r="E182" s="132"/>
      <c r="F182" s="115"/>
      <c r="G182" s="115"/>
      <c r="H182" s="115"/>
      <c r="I182" s="115"/>
      <c r="J182" s="115"/>
      <c r="K182" s="115"/>
      <c r="L182" s="115"/>
      <c r="M182" s="115"/>
      <c r="N182" s="115"/>
      <c r="O182" s="115"/>
      <c r="P182" s="115"/>
      <c r="Q182" s="115"/>
      <c r="R182" s="115"/>
      <c r="S182" s="115"/>
      <c r="T182" s="115"/>
      <c r="U182" s="115"/>
      <c r="V182" s="414"/>
      <c r="W182" s="120"/>
      <c r="X182" s="120"/>
      <c r="Y182" s="120"/>
      <c r="Z182" s="178"/>
      <c r="AA182" s="178"/>
      <c r="AB182" s="178"/>
      <c r="AC182" s="178"/>
      <c r="AD182" s="178"/>
      <c r="AE182" s="178"/>
      <c r="AF182" s="178"/>
      <c r="AG182" s="178"/>
      <c r="AH182" s="178"/>
      <c r="AI182" s="178"/>
      <c r="AJ182" s="178"/>
      <c r="AK182" s="178"/>
      <c r="AL182" s="178"/>
      <c r="AM182" s="178"/>
      <c r="AN182" s="178"/>
      <c r="AO182" s="178"/>
      <c r="AP182" s="178"/>
      <c r="AQ182" s="178"/>
      <c r="AR182" s="178"/>
      <c r="AS182" s="178"/>
    </row>
    <row r="183" spans="1:45" ht="15" customHeight="1" x14ac:dyDescent="0.4">
      <c r="D183" s="131" t="s">
        <v>44</v>
      </c>
      <c r="F183" s="115"/>
      <c r="G183" s="115"/>
      <c r="H183" s="115"/>
      <c r="I183" s="115"/>
      <c r="J183" s="115"/>
      <c r="K183" s="115"/>
      <c r="L183" s="115"/>
      <c r="M183" s="115"/>
      <c r="N183" s="115"/>
      <c r="O183" s="115"/>
      <c r="P183" s="115"/>
      <c r="Q183" s="115"/>
      <c r="R183" s="115"/>
      <c r="S183" s="115"/>
      <c r="T183" s="115"/>
      <c r="U183" s="115"/>
      <c r="V183" s="416"/>
      <c r="W183" s="136"/>
      <c r="X183" s="136"/>
      <c r="Y183" s="136"/>
    </row>
    <row r="184" spans="1:45" s="21" customFormat="1" ht="13.35" customHeight="1" x14ac:dyDescent="0.4">
      <c r="A184" s="27"/>
      <c r="B184" s="645"/>
      <c r="C184" s="645"/>
      <c r="D184" s="131" t="s">
        <v>44</v>
      </c>
      <c r="E184" s="132"/>
      <c r="F184" s="115"/>
      <c r="G184" s="115"/>
      <c r="H184" s="115"/>
      <c r="I184" s="115"/>
      <c r="J184" s="115"/>
      <c r="K184" s="115"/>
      <c r="L184" s="115"/>
      <c r="M184" s="115"/>
      <c r="N184" s="115"/>
      <c r="O184" s="115"/>
      <c r="P184" s="115"/>
      <c r="Q184" s="115"/>
      <c r="R184" s="115"/>
      <c r="S184" s="115"/>
      <c r="T184" s="115"/>
      <c r="U184" s="115"/>
      <c r="V184" s="414"/>
      <c r="W184" s="120"/>
      <c r="X184" s="120"/>
      <c r="Y184" s="120"/>
      <c r="Z184" s="178"/>
      <c r="AA184" s="178"/>
      <c r="AB184" s="178"/>
      <c r="AC184" s="178"/>
      <c r="AD184" s="178"/>
      <c r="AE184" s="178"/>
      <c r="AF184" s="178"/>
      <c r="AG184" s="178"/>
      <c r="AH184" s="178"/>
      <c r="AI184" s="178"/>
      <c r="AJ184" s="178"/>
      <c r="AK184" s="178"/>
      <c r="AL184" s="178"/>
      <c r="AM184" s="178"/>
      <c r="AN184" s="178"/>
      <c r="AO184" s="178"/>
      <c r="AP184" s="178"/>
      <c r="AQ184" s="178"/>
      <c r="AR184" s="178"/>
      <c r="AS184" s="178"/>
    </row>
    <row r="185" spans="1:45" s="21" customFormat="1" ht="13.5" customHeight="1" x14ac:dyDescent="0.4">
      <c r="A185" s="27"/>
      <c r="B185" s="645"/>
      <c r="C185" s="645"/>
      <c r="D185" s="131" t="s">
        <v>44</v>
      </c>
      <c r="F185" s="115"/>
      <c r="G185" s="115"/>
      <c r="H185" s="115"/>
      <c r="I185" s="115"/>
      <c r="J185" s="115"/>
      <c r="K185" s="115"/>
      <c r="L185" s="115"/>
      <c r="M185" s="115"/>
      <c r="N185" s="115"/>
      <c r="O185" s="115"/>
      <c r="P185" s="115"/>
      <c r="Q185" s="115"/>
      <c r="R185" s="178"/>
      <c r="S185" s="178"/>
      <c r="T185" s="178"/>
      <c r="U185" s="178"/>
      <c r="V185" s="410"/>
      <c r="Z185" s="178"/>
      <c r="AA185" s="178"/>
      <c r="AB185" s="178"/>
      <c r="AC185" s="178"/>
      <c r="AD185" s="178"/>
      <c r="AE185" s="178"/>
      <c r="AF185" s="178"/>
      <c r="AG185" s="178"/>
      <c r="AH185" s="178"/>
      <c r="AI185" s="178"/>
      <c r="AJ185" s="178"/>
      <c r="AK185" s="178"/>
      <c r="AL185" s="178"/>
      <c r="AM185" s="178"/>
      <c r="AN185" s="178"/>
      <c r="AO185" s="178"/>
      <c r="AP185" s="178"/>
      <c r="AQ185" s="178"/>
      <c r="AR185" s="178"/>
      <c r="AS185" s="178"/>
    </row>
    <row r="186" spans="1:45" s="21" customFormat="1" ht="13.5" customHeight="1" x14ac:dyDescent="0.4">
      <c r="A186" s="27"/>
      <c r="B186" s="648"/>
      <c r="C186" s="648"/>
      <c r="D186" s="131" t="s">
        <v>44</v>
      </c>
      <c r="F186" s="115"/>
      <c r="G186" s="115"/>
      <c r="H186" s="115"/>
      <c r="I186" s="115"/>
      <c r="J186" s="115"/>
      <c r="K186" s="115"/>
      <c r="L186" s="115"/>
      <c r="M186" s="115"/>
      <c r="N186" s="115"/>
      <c r="O186" s="115"/>
      <c r="P186" s="115"/>
      <c r="Q186" s="115"/>
      <c r="R186" s="178"/>
      <c r="S186" s="178"/>
      <c r="T186" s="178"/>
      <c r="U186" s="178"/>
      <c r="V186" s="410"/>
      <c r="Z186" s="178"/>
      <c r="AA186" s="178"/>
      <c r="AB186" s="178"/>
      <c r="AC186" s="178"/>
      <c r="AD186" s="178"/>
      <c r="AE186" s="178"/>
      <c r="AF186" s="178"/>
      <c r="AG186" s="178"/>
      <c r="AH186" s="178"/>
      <c r="AI186" s="178"/>
      <c r="AJ186" s="178"/>
      <c r="AK186" s="178"/>
      <c r="AL186" s="178"/>
      <c r="AM186" s="178"/>
      <c r="AN186" s="178"/>
      <c r="AO186" s="178"/>
      <c r="AP186" s="178"/>
      <c r="AQ186" s="178"/>
      <c r="AR186" s="178"/>
      <c r="AS186" s="178"/>
    </row>
    <row r="187" spans="1:45" s="21" customFormat="1" ht="13.5" customHeight="1" x14ac:dyDescent="0.4">
      <c r="A187" s="27"/>
      <c r="B187" s="648"/>
      <c r="C187" s="648"/>
      <c r="D187" s="131" t="s">
        <v>44</v>
      </c>
      <c r="E187" s="132"/>
      <c r="F187" s="115"/>
      <c r="G187" s="115"/>
      <c r="H187" s="115"/>
      <c r="I187" s="115"/>
      <c r="J187" s="115"/>
      <c r="K187" s="115"/>
      <c r="L187" s="115"/>
      <c r="M187" s="115"/>
      <c r="N187" s="115"/>
      <c r="O187" s="115"/>
      <c r="P187" s="115"/>
      <c r="Q187" s="115"/>
      <c r="R187" s="178"/>
      <c r="S187" s="178"/>
      <c r="T187" s="178"/>
      <c r="U187" s="178"/>
      <c r="V187" s="410"/>
      <c r="Z187" s="178"/>
      <c r="AA187" s="178"/>
      <c r="AB187" s="178"/>
      <c r="AC187" s="178"/>
      <c r="AD187" s="178"/>
      <c r="AE187" s="178"/>
      <c r="AF187" s="178"/>
      <c r="AG187" s="178"/>
      <c r="AH187" s="178"/>
      <c r="AI187" s="178"/>
      <c r="AJ187" s="178"/>
      <c r="AK187" s="178"/>
      <c r="AL187" s="178"/>
      <c r="AM187" s="178"/>
      <c r="AN187" s="178"/>
      <c r="AO187" s="178"/>
      <c r="AP187" s="178"/>
      <c r="AQ187" s="178"/>
      <c r="AR187" s="178"/>
      <c r="AS187" s="178"/>
    </row>
    <row r="188" spans="1:45" s="21" customFormat="1" ht="13.5" customHeight="1" x14ac:dyDescent="0.4">
      <c r="A188" s="27"/>
      <c r="B188" s="648"/>
      <c r="C188" s="648"/>
      <c r="D188" s="131" t="s">
        <v>44</v>
      </c>
      <c r="E188" s="132"/>
      <c r="F188" s="115"/>
      <c r="G188" s="115"/>
      <c r="H188" s="115"/>
      <c r="I188" s="115"/>
      <c r="J188" s="115"/>
      <c r="K188" s="115"/>
      <c r="L188" s="115"/>
      <c r="M188" s="115"/>
      <c r="N188" s="115"/>
      <c r="O188" s="115"/>
      <c r="P188" s="115"/>
      <c r="Q188" s="115"/>
      <c r="R188" s="178"/>
      <c r="S188" s="178"/>
      <c r="T188" s="178"/>
      <c r="U188" s="178"/>
      <c r="V188" s="410"/>
      <c r="Z188" s="178"/>
      <c r="AA188" s="178"/>
      <c r="AB188" s="178"/>
      <c r="AC188" s="178"/>
      <c r="AD188" s="178"/>
      <c r="AE188" s="178"/>
      <c r="AF188" s="178"/>
      <c r="AG188" s="178"/>
      <c r="AH188" s="178"/>
      <c r="AI188" s="178"/>
      <c r="AJ188" s="178"/>
      <c r="AK188" s="178"/>
      <c r="AL188" s="178"/>
      <c r="AM188" s="178"/>
      <c r="AN188" s="178"/>
      <c r="AO188" s="178"/>
      <c r="AP188" s="178"/>
      <c r="AQ188" s="178"/>
      <c r="AR188" s="178"/>
      <c r="AS188" s="178"/>
    </row>
    <row r="189" spans="1:45" s="21" customFormat="1" ht="13.5" customHeight="1" x14ac:dyDescent="0.4">
      <c r="A189" s="27"/>
      <c r="B189" s="648"/>
      <c r="C189" s="648"/>
      <c r="D189" s="131" t="s">
        <v>44</v>
      </c>
      <c r="E189" s="132"/>
      <c r="F189" s="115"/>
      <c r="G189" s="115"/>
      <c r="H189" s="115"/>
      <c r="I189" s="115"/>
      <c r="J189" s="115"/>
      <c r="K189" s="115"/>
      <c r="L189" s="115"/>
      <c r="M189" s="115"/>
      <c r="N189" s="115"/>
      <c r="O189" s="115"/>
      <c r="P189" s="115"/>
      <c r="Q189" s="115"/>
      <c r="R189" s="178"/>
      <c r="S189" s="178"/>
      <c r="T189" s="178"/>
      <c r="U189" s="178"/>
      <c r="V189" s="410"/>
      <c r="Z189" s="178"/>
      <c r="AA189" s="178"/>
      <c r="AB189" s="178"/>
      <c r="AC189" s="178"/>
      <c r="AD189" s="178"/>
      <c r="AE189" s="178"/>
      <c r="AF189" s="178"/>
      <c r="AG189" s="178"/>
      <c r="AH189" s="178"/>
      <c r="AI189" s="178"/>
      <c r="AJ189" s="178"/>
      <c r="AK189" s="178"/>
      <c r="AL189" s="178"/>
      <c r="AM189" s="178"/>
      <c r="AN189" s="178"/>
      <c r="AO189" s="178"/>
      <c r="AP189" s="178"/>
      <c r="AQ189" s="178"/>
      <c r="AR189" s="178"/>
      <c r="AS189" s="178"/>
    </row>
    <row r="190" spans="1:45" s="21" customFormat="1" ht="13.5" customHeight="1" x14ac:dyDescent="0.4">
      <c r="A190" s="27"/>
      <c r="B190" s="648"/>
      <c r="C190" s="648"/>
      <c r="D190" s="131" t="s">
        <v>44</v>
      </c>
      <c r="E190" s="132"/>
      <c r="F190" s="115"/>
      <c r="G190" s="115"/>
      <c r="H190" s="115"/>
      <c r="I190" s="115"/>
      <c r="J190" s="115"/>
      <c r="K190" s="115"/>
      <c r="L190" s="115"/>
      <c r="M190" s="115"/>
      <c r="N190" s="115"/>
      <c r="O190" s="115"/>
      <c r="P190" s="115"/>
      <c r="Q190" s="115"/>
      <c r="R190" s="178"/>
      <c r="S190" s="178"/>
      <c r="T190" s="178"/>
      <c r="U190" s="178"/>
      <c r="V190" s="410"/>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row>
    <row r="191" spans="1:45" s="21" customFormat="1" ht="13.5" customHeight="1" x14ac:dyDescent="0.4">
      <c r="A191" s="27"/>
      <c r="B191" s="648"/>
      <c r="C191" s="648"/>
      <c r="D191" s="131" t="s">
        <v>44</v>
      </c>
      <c r="E191" s="132"/>
      <c r="F191" s="115"/>
      <c r="G191" s="115"/>
      <c r="H191" s="115"/>
      <c r="I191" s="115"/>
      <c r="J191" s="115"/>
      <c r="K191" s="115"/>
      <c r="L191" s="115"/>
      <c r="M191" s="115"/>
      <c r="N191" s="115"/>
      <c r="O191" s="115"/>
      <c r="P191" s="115"/>
      <c r="Q191" s="115"/>
      <c r="R191" s="178"/>
      <c r="S191" s="178"/>
      <c r="T191" s="178"/>
      <c r="U191" s="178"/>
      <c r="V191" s="410"/>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row>
    <row r="192" spans="1:45" s="21" customFormat="1" ht="13.5" customHeight="1" x14ac:dyDescent="0.4">
      <c r="A192" s="27"/>
      <c r="B192" s="648"/>
      <c r="C192" s="648"/>
      <c r="D192" s="131" t="s">
        <v>44</v>
      </c>
      <c r="E192" s="132"/>
      <c r="F192" s="115"/>
      <c r="G192" s="115"/>
      <c r="H192" s="115"/>
      <c r="I192" s="115"/>
      <c r="J192" s="115"/>
      <c r="K192" s="115"/>
      <c r="L192" s="115"/>
      <c r="M192" s="115"/>
      <c r="N192" s="115"/>
      <c r="O192" s="115"/>
      <c r="P192" s="115"/>
      <c r="Q192" s="115"/>
      <c r="R192" s="178"/>
      <c r="S192" s="178"/>
      <c r="T192" s="178"/>
      <c r="U192" s="178"/>
      <c r="V192" s="410"/>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row>
    <row r="193" spans="1:45" s="21" customFormat="1" ht="13.5" customHeight="1" x14ac:dyDescent="0.4">
      <c r="A193" s="27"/>
      <c r="B193" s="648"/>
      <c r="C193" s="648"/>
      <c r="D193" s="131" t="s">
        <v>44</v>
      </c>
      <c r="E193" s="132"/>
      <c r="F193" s="115"/>
      <c r="G193" s="115"/>
      <c r="H193" s="115"/>
      <c r="I193" s="115"/>
      <c r="J193" s="115"/>
      <c r="K193" s="115"/>
      <c r="L193" s="115"/>
      <c r="M193" s="115"/>
      <c r="N193" s="115"/>
      <c r="O193" s="115"/>
      <c r="P193" s="115"/>
      <c r="Q193" s="115"/>
      <c r="R193" s="178"/>
      <c r="S193" s="178"/>
      <c r="T193" s="178"/>
      <c r="U193" s="178"/>
      <c r="V193" s="410"/>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row>
    <row r="194" spans="1:45" s="21" customFormat="1" ht="13.5" customHeight="1" x14ac:dyDescent="0.4">
      <c r="A194" s="27"/>
      <c r="B194" s="648"/>
      <c r="C194" s="648"/>
      <c r="D194" s="131" t="s">
        <v>44</v>
      </c>
      <c r="E194" s="132"/>
      <c r="F194" s="115"/>
      <c r="G194" s="115"/>
      <c r="H194" s="115"/>
      <c r="I194" s="115"/>
      <c r="J194" s="115"/>
      <c r="K194" s="115"/>
      <c r="L194" s="115"/>
      <c r="M194" s="115"/>
      <c r="N194" s="115"/>
      <c r="O194" s="115"/>
      <c r="P194" s="115"/>
      <c r="Q194" s="115"/>
      <c r="R194" s="178"/>
      <c r="S194" s="178"/>
      <c r="T194" s="178"/>
      <c r="U194" s="178"/>
      <c r="V194" s="410"/>
      <c r="Z194" s="178"/>
      <c r="AA194" s="178"/>
      <c r="AB194" s="178"/>
      <c r="AC194" s="178"/>
      <c r="AD194" s="178"/>
      <c r="AE194" s="178"/>
      <c r="AF194" s="178"/>
      <c r="AG194" s="178"/>
      <c r="AH194" s="178"/>
      <c r="AI194" s="178"/>
      <c r="AJ194" s="178"/>
      <c r="AK194" s="178"/>
      <c r="AL194" s="178"/>
      <c r="AM194" s="178"/>
      <c r="AN194" s="178"/>
      <c r="AO194" s="178"/>
      <c r="AP194" s="178"/>
      <c r="AQ194" s="178"/>
      <c r="AR194" s="178"/>
      <c r="AS194" s="178"/>
    </row>
    <row r="195" spans="1:45" s="21" customFormat="1" ht="13.5" customHeight="1" x14ac:dyDescent="0.4">
      <c r="A195" s="27"/>
      <c r="B195" s="648"/>
      <c r="C195" s="648"/>
      <c r="D195" s="131" t="s">
        <v>44</v>
      </c>
      <c r="E195" s="132"/>
      <c r="F195" s="115"/>
      <c r="G195" s="115"/>
      <c r="H195" s="115"/>
      <c r="I195" s="115"/>
      <c r="J195" s="115"/>
      <c r="K195" s="115"/>
      <c r="L195" s="115"/>
      <c r="M195" s="115"/>
      <c r="N195" s="115"/>
      <c r="O195" s="115"/>
      <c r="P195" s="115"/>
      <c r="Q195" s="115"/>
      <c r="R195" s="178"/>
      <c r="S195" s="178"/>
      <c r="T195" s="178"/>
      <c r="U195" s="178"/>
      <c r="V195" s="410"/>
      <c r="Z195" s="178"/>
      <c r="AA195" s="178"/>
      <c r="AB195" s="178"/>
      <c r="AC195" s="178"/>
      <c r="AD195" s="178"/>
      <c r="AE195" s="178"/>
      <c r="AF195" s="178"/>
      <c r="AG195" s="178"/>
      <c r="AH195" s="178"/>
      <c r="AI195" s="178"/>
      <c r="AJ195" s="178"/>
      <c r="AK195" s="178"/>
      <c r="AL195" s="178"/>
      <c r="AM195" s="178"/>
      <c r="AN195" s="178"/>
      <c r="AO195" s="178"/>
      <c r="AP195" s="178"/>
      <c r="AQ195" s="178"/>
      <c r="AR195" s="178"/>
      <c r="AS195" s="178"/>
    </row>
    <row r="196" spans="1:45" s="21" customFormat="1" ht="13.5" customHeight="1" x14ac:dyDescent="0.4">
      <c r="A196" s="27"/>
      <c r="B196" s="648"/>
      <c r="C196" s="648"/>
      <c r="D196" s="131" t="s">
        <v>44</v>
      </c>
      <c r="E196" s="132"/>
      <c r="F196" s="115"/>
      <c r="G196" s="115"/>
      <c r="H196" s="115"/>
      <c r="I196" s="115"/>
      <c r="J196" s="115"/>
      <c r="K196" s="115"/>
      <c r="L196" s="115"/>
      <c r="M196" s="115"/>
      <c r="N196" s="115"/>
      <c r="O196" s="115"/>
      <c r="P196" s="115"/>
      <c r="Q196" s="115"/>
      <c r="R196" s="178"/>
      <c r="S196" s="178"/>
      <c r="T196" s="178"/>
      <c r="U196" s="178"/>
      <c r="V196" s="410"/>
      <c r="Z196" s="178"/>
      <c r="AA196" s="178"/>
      <c r="AB196" s="178"/>
      <c r="AC196" s="178"/>
      <c r="AD196" s="178"/>
      <c r="AE196" s="178"/>
      <c r="AF196" s="178"/>
      <c r="AG196" s="178"/>
      <c r="AH196" s="178"/>
      <c r="AI196" s="178"/>
      <c r="AJ196" s="178"/>
      <c r="AK196" s="178"/>
      <c r="AL196" s="178"/>
      <c r="AM196" s="178"/>
      <c r="AN196" s="178"/>
      <c r="AO196" s="178"/>
      <c r="AP196" s="178"/>
      <c r="AQ196" s="178"/>
      <c r="AR196" s="178"/>
      <c r="AS196" s="178"/>
    </row>
    <row r="197" spans="1:45" s="21" customFormat="1" ht="13.5" customHeight="1" x14ac:dyDescent="0.4">
      <c r="A197" s="27"/>
      <c r="B197" s="648"/>
      <c r="C197" s="648"/>
      <c r="D197" s="131" t="s">
        <v>44</v>
      </c>
      <c r="E197" s="132"/>
      <c r="F197" s="115"/>
      <c r="G197" s="115"/>
      <c r="H197" s="115"/>
      <c r="I197" s="115"/>
      <c r="J197" s="115"/>
      <c r="K197" s="115"/>
      <c r="L197" s="115"/>
      <c r="M197" s="115"/>
      <c r="N197" s="115"/>
      <c r="O197" s="115"/>
      <c r="P197" s="115"/>
      <c r="Q197" s="115"/>
      <c r="R197" s="178"/>
      <c r="S197" s="178"/>
      <c r="T197" s="178"/>
      <c r="U197" s="178"/>
      <c r="V197" s="410"/>
      <c r="Z197" s="178"/>
      <c r="AA197" s="178"/>
      <c r="AB197" s="178"/>
      <c r="AC197" s="178"/>
      <c r="AD197" s="178"/>
      <c r="AE197" s="178"/>
      <c r="AF197" s="178"/>
      <c r="AG197" s="178"/>
      <c r="AH197" s="178"/>
      <c r="AI197" s="178"/>
      <c r="AJ197" s="178"/>
      <c r="AK197" s="178"/>
      <c r="AL197" s="178"/>
      <c r="AM197" s="178"/>
      <c r="AN197" s="178"/>
      <c r="AO197" s="178"/>
      <c r="AP197" s="178"/>
      <c r="AQ197" s="178"/>
      <c r="AR197" s="178"/>
      <c r="AS197" s="178"/>
    </row>
    <row r="198" spans="1:45" s="21" customFormat="1" ht="13.5" customHeight="1" x14ac:dyDescent="0.4">
      <c r="A198" s="27"/>
      <c r="B198" s="648"/>
      <c r="C198" s="648"/>
      <c r="D198" s="131" t="s">
        <v>44</v>
      </c>
      <c r="E198" s="132"/>
      <c r="F198" s="115"/>
      <c r="G198" s="115"/>
      <c r="H198" s="115"/>
      <c r="I198" s="115"/>
      <c r="J198" s="115"/>
      <c r="K198" s="115"/>
      <c r="L198" s="115"/>
      <c r="M198" s="115"/>
      <c r="N198" s="115"/>
      <c r="O198" s="115"/>
      <c r="P198" s="115"/>
      <c r="Q198" s="115"/>
      <c r="R198" s="178"/>
      <c r="S198" s="178"/>
      <c r="T198" s="178"/>
      <c r="U198" s="178"/>
      <c r="V198" s="410"/>
      <c r="Z198" s="178"/>
      <c r="AA198" s="178"/>
      <c r="AB198" s="178"/>
      <c r="AC198" s="178"/>
      <c r="AD198" s="178"/>
      <c r="AE198" s="178"/>
      <c r="AF198" s="178"/>
      <c r="AG198" s="178"/>
      <c r="AH198" s="178"/>
      <c r="AI198" s="178"/>
      <c r="AJ198" s="178"/>
      <c r="AK198" s="178"/>
      <c r="AL198" s="178"/>
      <c r="AM198" s="178"/>
      <c r="AN198" s="178"/>
      <c r="AO198" s="178"/>
      <c r="AP198" s="178"/>
      <c r="AQ198" s="178"/>
      <c r="AR198" s="178"/>
      <c r="AS198" s="178"/>
    </row>
    <row r="199" spans="1:45" s="21" customFormat="1" ht="13.5" customHeight="1" x14ac:dyDescent="0.4">
      <c r="A199" s="27"/>
      <c r="B199" s="648"/>
      <c r="C199" s="648"/>
      <c r="D199" s="131" t="s">
        <v>44</v>
      </c>
      <c r="E199" s="132"/>
      <c r="F199" s="115"/>
      <c r="G199" s="115"/>
      <c r="H199" s="115"/>
      <c r="I199" s="115"/>
      <c r="J199" s="115"/>
      <c r="K199" s="115"/>
      <c r="L199" s="115"/>
      <c r="M199" s="115"/>
      <c r="N199" s="115"/>
      <c r="O199" s="115"/>
      <c r="P199" s="115"/>
      <c r="Q199" s="115"/>
      <c r="R199" s="178"/>
      <c r="S199" s="178"/>
      <c r="T199" s="178"/>
      <c r="U199" s="178"/>
      <c r="V199" s="410"/>
      <c r="Z199" s="178"/>
      <c r="AA199" s="178"/>
      <c r="AB199" s="178"/>
      <c r="AC199" s="178"/>
      <c r="AD199" s="178"/>
      <c r="AE199" s="178"/>
      <c r="AF199" s="178"/>
      <c r="AG199" s="178"/>
      <c r="AH199" s="178"/>
      <c r="AI199" s="178"/>
      <c r="AJ199" s="178"/>
      <c r="AK199" s="178"/>
      <c r="AL199" s="178"/>
      <c r="AM199" s="178"/>
      <c r="AN199" s="178"/>
      <c r="AO199" s="178"/>
      <c r="AP199" s="178"/>
      <c r="AQ199" s="178"/>
      <c r="AR199" s="178"/>
      <c r="AS199" s="178"/>
    </row>
    <row r="200" spans="1:45" s="21" customFormat="1" ht="13.5" customHeight="1" x14ac:dyDescent="0.4">
      <c r="A200" s="27"/>
      <c r="B200" s="648"/>
      <c r="C200" s="648"/>
      <c r="D200" s="131" t="s">
        <v>44</v>
      </c>
      <c r="E200" s="132"/>
      <c r="F200" s="115"/>
      <c r="G200" s="115"/>
      <c r="H200" s="115"/>
      <c r="I200" s="115"/>
      <c r="J200" s="115"/>
      <c r="K200" s="115"/>
      <c r="L200" s="115"/>
      <c r="M200" s="115"/>
      <c r="N200" s="115"/>
      <c r="O200" s="115"/>
      <c r="P200" s="115"/>
      <c r="Q200" s="115"/>
      <c r="R200" s="178"/>
      <c r="S200" s="178"/>
      <c r="T200" s="178"/>
      <c r="U200" s="178"/>
      <c r="V200" s="410"/>
      <c r="Z200" s="178"/>
      <c r="AA200" s="178"/>
      <c r="AB200" s="178"/>
      <c r="AC200" s="178"/>
      <c r="AD200" s="178"/>
      <c r="AE200" s="178"/>
      <c r="AF200" s="178"/>
      <c r="AG200" s="178"/>
      <c r="AH200" s="178"/>
      <c r="AI200" s="178"/>
      <c r="AJ200" s="178"/>
      <c r="AK200" s="178"/>
      <c r="AL200" s="178"/>
      <c r="AM200" s="178"/>
      <c r="AN200" s="178"/>
      <c r="AO200" s="178"/>
      <c r="AP200" s="178"/>
      <c r="AQ200" s="178"/>
      <c r="AR200" s="178"/>
      <c r="AS200" s="178"/>
    </row>
    <row r="201" spans="1:45" s="21" customFormat="1" ht="13.5" customHeight="1" x14ac:dyDescent="0.4">
      <c r="A201" s="27"/>
      <c r="B201" s="648"/>
      <c r="C201" s="648"/>
      <c r="D201" s="131" t="s">
        <v>44</v>
      </c>
      <c r="E201" s="132"/>
      <c r="F201" s="115"/>
      <c r="G201" s="115"/>
      <c r="H201" s="115"/>
      <c r="I201" s="115"/>
      <c r="J201" s="115"/>
      <c r="K201" s="115"/>
      <c r="L201" s="115"/>
      <c r="M201" s="115"/>
      <c r="N201" s="115"/>
      <c r="O201" s="115"/>
      <c r="P201" s="115"/>
      <c r="Q201" s="115"/>
      <c r="R201" s="115"/>
      <c r="S201" s="115"/>
      <c r="T201" s="115"/>
      <c r="U201" s="115"/>
      <c r="V201" s="414"/>
      <c r="W201" s="120"/>
      <c r="X201" s="120"/>
      <c r="Y201" s="120"/>
      <c r="Z201" s="396"/>
      <c r="AA201" s="396"/>
      <c r="AB201" s="396"/>
      <c r="AC201" s="398"/>
      <c r="AD201" s="178"/>
      <c r="AE201" s="178"/>
      <c r="AF201" s="178"/>
      <c r="AG201" s="178"/>
      <c r="AH201" s="178"/>
      <c r="AI201" s="178"/>
      <c r="AJ201" s="178"/>
      <c r="AK201" s="178"/>
      <c r="AL201" s="178"/>
      <c r="AM201" s="178"/>
      <c r="AN201" s="178"/>
      <c r="AO201" s="178"/>
      <c r="AP201" s="178"/>
      <c r="AQ201" s="178"/>
      <c r="AR201" s="178"/>
      <c r="AS201" s="178"/>
    </row>
    <row r="202" spans="1:45" s="21" customFormat="1" ht="13.5" customHeight="1" x14ac:dyDescent="0.4">
      <c r="A202" s="27"/>
      <c r="B202" s="648"/>
      <c r="C202" s="648"/>
      <c r="D202" s="131" t="s">
        <v>44</v>
      </c>
      <c r="E202" s="132"/>
      <c r="F202" s="115"/>
      <c r="G202" s="115"/>
      <c r="H202" s="115"/>
      <c r="I202" s="115"/>
      <c r="J202" s="115"/>
      <c r="K202" s="115"/>
      <c r="L202" s="115"/>
      <c r="M202" s="115"/>
      <c r="N202" s="115"/>
      <c r="O202" s="115"/>
      <c r="P202" s="115"/>
      <c r="Q202" s="115"/>
      <c r="R202" s="115"/>
      <c r="S202" s="115"/>
      <c r="T202" s="115"/>
      <c r="U202" s="115"/>
      <c r="V202" s="414"/>
      <c r="W202" s="120"/>
      <c r="X202" s="120"/>
      <c r="Y202" s="120"/>
      <c r="Z202" s="396"/>
      <c r="AA202" s="396"/>
      <c r="AB202" s="396"/>
      <c r="AC202" s="398"/>
      <c r="AD202" s="178"/>
      <c r="AE202" s="178"/>
      <c r="AF202" s="178"/>
      <c r="AG202" s="178"/>
      <c r="AH202" s="178"/>
      <c r="AI202" s="178"/>
      <c r="AJ202" s="178"/>
      <c r="AK202" s="178"/>
      <c r="AL202" s="178"/>
      <c r="AM202" s="178"/>
      <c r="AN202" s="178"/>
      <c r="AO202" s="178"/>
      <c r="AP202" s="178"/>
      <c r="AQ202" s="178"/>
      <c r="AR202" s="178"/>
      <c r="AS202" s="178"/>
    </row>
    <row r="203" spans="1:45" s="21" customFormat="1" ht="13.5" customHeight="1" x14ac:dyDescent="0.4">
      <c r="A203" s="27"/>
      <c r="B203" s="648"/>
      <c r="C203" s="648"/>
      <c r="D203" s="131" t="s">
        <v>44</v>
      </c>
      <c r="E203" s="132"/>
      <c r="F203" s="115"/>
      <c r="G203" s="115"/>
      <c r="H203" s="115"/>
      <c r="I203" s="115"/>
      <c r="J203" s="115"/>
      <c r="K203" s="115"/>
      <c r="L203" s="115"/>
      <c r="M203" s="115"/>
      <c r="N203" s="115"/>
      <c r="O203" s="115"/>
      <c r="P203" s="115"/>
      <c r="Q203" s="115"/>
      <c r="R203" s="115"/>
      <c r="S203" s="115"/>
      <c r="T203" s="115"/>
      <c r="U203" s="115"/>
      <c r="V203" s="414"/>
      <c r="W203" s="120"/>
      <c r="X203" s="120"/>
      <c r="Y203" s="120"/>
      <c r="Z203" s="396"/>
      <c r="AA203" s="396"/>
      <c r="AB203" s="396"/>
      <c r="AC203" s="398"/>
      <c r="AD203" s="178"/>
      <c r="AE203" s="178"/>
      <c r="AF203" s="178"/>
      <c r="AG203" s="178"/>
      <c r="AH203" s="178"/>
      <c r="AI203" s="178"/>
      <c r="AJ203" s="178"/>
      <c r="AK203" s="178"/>
      <c r="AL203" s="178"/>
      <c r="AM203" s="178"/>
      <c r="AN203" s="178"/>
      <c r="AO203" s="178"/>
      <c r="AP203" s="178"/>
      <c r="AQ203" s="178"/>
      <c r="AR203" s="178"/>
      <c r="AS203" s="178"/>
    </row>
    <row r="204" spans="1:45" s="21" customFormat="1" ht="13.5" customHeight="1" x14ac:dyDescent="0.4">
      <c r="A204" s="27"/>
      <c r="B204" s="648"/>
      <c r="C204" s="648"/>
      <c r="D204" s="131" t="s">
        <v>44</v>
      </c>
      <c r="E204" s="132"/>
      <c r="F204" s="115"/>
      <c r="G204" s="115"/>
      <c r="H204" s="115"/>
      <c r="I204" s="115"/>
      <c r="J204" s="115"/>
      <c r="K204" s="115"/>
      <c r="L204" s="115"/>
      <c r="M204" s="115"/>
      <c r="N204" s="115"/>
      <c r="O204" s="115"/>
      <c r="P204" s="115"/>
      <c r="Q204" s="115"/>
      <c r="R204" s="115"/>
      <c r="S204" s="115"/>
      <c r="T204" s="115"/>
      <c r="U204" s="115"/>
      <c r="V204" s="414"/>
      <c r="W204" s="120"/>
      <c r="X204" s="120"/>
      <c r="Y204" s="120"/>
      <c r="Z204" s="396"/>
      <c r="AA204" s="396"/>
      <c r="AB204" s="396"/>
      <c r="AC204" s="398"/>
      <c r="AD204" s="178"/>
      <c r="AE204" s="178"/>
      <c r="AF204" s="178"/>
      <c r="AG204" s="178"/>
      <c r="AH204" s="178"/>
      <c r="AI204" s="178"/>
      <c r="AJ204" s="178"/>
      <c r="AK204" s="178"/>
      <c r="AL204" s="178"/>
      <c r="AM204" s="178"/>
      <c r="AN204" s="178"/>
      <c r="AO204" s="178"/>
      <c r="AP204" s="178"/>
      <c r="AQ204" s="178"/>
      <c r="AR204" s="178"/>
      <c r="AS204" s="178"/>
    </row>
    <row r="205" spans="1:45" s="21" customFormat="1" ht="13.5" customHeight="1" x14ac:dyDescent="0.4">
      <c r="A205" s="27"/>
      <c r="B205" s="648"/>
      <c r="C205" s="648"/>
      <c r="D205" s="131" t="s">
        <v>44</v>
      </c>
      <c r="E205" s="132"/>
      <c r="F205" s="115"/>
      <c r="G205" s="115"/>
      <c r="H205" s="115"/>
      <c r="I205" s="115"/>
      <c r="J205" s="115"/>
      <c r="K205" s="115"/>
      <c r="L205" s="115"/>
      <c r="M205" s="115"/>
      <c r="N205" s="115"/>
      <c r="O205" s="115"/>
      <c r="P205" s="115"/>
      <c r="Q205" s="115"/>
      <c r="R205" s="115"/>
      <c r="S205" s="115"/>
      <c r="T205" s="115"/>
      <c r="U205" s="115"/>
      <c r="V205" s="414"/>
      <c r="W205" s="120"/>
      <c r="X205" s="120"/>
      <c r="Y205" s="120"/>
      <c r="Z205" s="396"/>
      <c r="AA205" s="396"/>
      <c r="AB205" s="396"/>
      <c r="AC205" s="398"/>
      <c r="AD205" s="178"/>
      <c r="AE205" s="178"/>
      <c r="AF205" s="178"/>
      <c r="AG205" s="178"/>
      <c r="AH205" s="178"/>
      <c r="AI205" s="178"/>
      <c r="AJ205" s="178"/>
      <c r="AK205" s="178"/>
      <c r="AL205" s="178"/>
      <c r="AM205" s="178"/>
      <c r="AN205" s="178"/>
      <c r="AO205" s="178"/>
      <c r="AP205" s="178"/>
      <c r="AQ205" s="178"/>
      <c r="AR205" s="178"/>
      <c r="AS205" s="178"/>
    </row>
    <row r="206" spans="1:45" s="21" customFormat="1" ht="13.5" customHeight="1" x14ac:dyDescent="0.4">
      <c r="A206" s="27"/>
      <c r="B206" s="648"/>
      <c r="C206" s="648"/>
      <c r="D206" s="131" t="s">
        <v>44</v>
      </c>
      <c r="E206" s="132"/>
      <c r="F206" s="115"/>
      <c r="G206" s="115"/>
      <c r="H206" s="115"/>
      <c r="I206" s="115"/>
      <c r="J206" s="115"/>
      <c r="K206" s="115"/>
      <c r="L206" s="115"/>
      <c r="M206" s="115"/>
      <c r="N206" s="115"/>
      <c r="O206" s="115"/>
      <c r="P206" s="115"/>
      <c r="Q206" s="115"/>
      <c r="R206" s="115"/>
      <c r="S206" s="115"/>
      <c r="T206" s="115"/>
      <c r="U206" s="115"/>
      <c r="V206" s="414"/>
      <c r="W206" s="120"/>
      <c r="X206" s="120"/>
      <c r="Y206" s="120"/>
      <c r="Z206" s="396"/>
      <c r="AA206" s="396"/>
      <c r="AB206" s="396"/>
      <c r="AC206" s="398"/>
      <c r="AD206" s="178"/>
      <c r="AE206" s="178"/>
      <c r="AF206" s="178"/>
      <c r="AG206" s="178"/>
      <c r="AH206" s="178"/>
      <c r="AI206" s="178"/>
      <c r="AJ206" s="178"/>
      <c r="AK206" s="178"/>
      <c r="AL206" s="178"/>
      <c r="AM206" s="178"/>
      <c r="AN206" s="178"/>
      <c r="AO206" s="178"/>
      <c r="AP206" s="178"/>
      <c r="AQ206" s="178"/>
      <c r="AR206" s="178"/>
      <c r="AS206" s="178"/>
    </row>
    <row r="207" spans="1:45" s="21" customFormat="1" ht="13.5" customHeight="1" x14ac:dyDescent="0.4">
      <c r="A207" s="27"/>
      <c r="B207" s="648"/>
      <c r="C207" s="648"/>
      <c r="D207" s="131" t="s">
        <v>44</v>
      </c>
      <c r="E207" s="132"/>
      <c r="F207" s="115"/>
      <c r="G207" s="115"/>
      <c r="H207" s="115"/>
      <c r="I207" s="115"/>
      <c r="J207" s="115"/>
      <c r="K207" s="115"/>
      <c r="L207" s="115"/>
      <c r="M207" s="115"/>
      <c r="N207" s="178"/>
      <c r="O207" s="115"/>
      <c r="P207" s="115"/>
      <c r="Q207" s="115"/>
      <c r="R207" s="115"/>
      <c r="S207" s="115"/>
      <c r="T207" s="115"/>
      <c r="U207" s="115"/>
      <c r="V207" s="414"/>
      <c r="W207" s="120"/>
      <c r="X207" s="120"/>
      <c r="Y207" s="120"/>
      <c r="Z207" s="396"/>
      <c r="AA207" s="396"/>
      <c r="AB207" s="396"/>
      <c r="AC207" s="398"/>
      <c r="AD207" s="178"/>
      <c r="AE207" s="178"/>
      <c r="AF207" s="178"/>
      <c r="AG207" s="178"/>
      <c r="AH207" s="178"/>
      <c r="AI207" s="178"/>
      <c r="AJ207" s="178"/>
      <c r="AK207" s="178"/>
      <c r="AL207" s="178"/>
      <c r="AM207" s="178"/>
      <c r="AN207" s="178"/>
      <c r="AO207" s="178"/>
      <c r="AP207" s="178"/>
      <c r="AQ207" s="178"/>
      <c r="AR207" s="178"/>
      <c r="AS207" s="178"/>
    </row>
    <row r="208" spans="1:45" s="21" customFormat="1" ht="13.2" customHeight="1" x14ac:dyDescent="0.4">
      <c r="A208" s="27"/>
      <c r="B208" s="648"/>
      <c r="C208" s="648"/>
      <c r="D208" s="131" t="s">
        <v>44</v>
      </c>
      <c r="E208" s="132"/>
      <c r="F208" s="115"/>
      <c r="G208" s="115"/>
      <c r="H208" s="115"/>
      <c r="I208" s="115"/>
      <c r="J208" s="115"/>
      <c r="K208" s="115"/>
      <c r="L208" s="115"/>
      <c r="M208" s="115"/>
      <c r="N208" s="115"/>
      <c r="O208" s="115"/>
      <c r="P208" s="115"/>
      <c r="Q208" s="115"/>
      <c r="R208" s="115"/>
      <c r="S208" s="115"/>
      <c r="T208" s="115"/>
      <c r="U208" s="115"/>
      <c r="V208" s="414"/>
      <c r="W208" s="120"/>
      <c r="X208" s="120"/>
      <c r="Y208" s="120"/>
      <c r="Z208" s="396"/>
      <c r="AA208" s="396"/>
      <c r="AB208" s="396"/>
      <c r="AC208" s="398"/>
      <c r="AD208" s="178"/>
      <c r="AE208" s="178"/>
      <c r="AF208" s="178"/>
      <c r="AG208" s="178"/>
      <c r="AH208" s="178"/>
      <c r="AI208" s="178"/>
      <c r="AJ208" s="178"/>
      <c r="AK208" s="178"/>
      <c r="AL208" s="178"/>
      <c r="AM208" s="178"/>
      <c r="AN208" s="178"/>
      <c r="AO208" s="178"/>
      <c r="AP208" s="178"/>
      <c r="AQ208" s="178"/>
      <c r="AR208" s="178"/>
      <c r="AS208" s="178"/>
    </row>
    <row r="209" spans="1:45" s="21" customFormat="1" ht="13.5" customHeight="1" x14ac:dyDescent="0.4">
      <c r="A209" s="27"/>
      <c r="B209" s="648"/>
      <c r="C209" s="648"/>
      <c r="D209" s="131" t="s">
        <v>44</v>
      </c>
      <c r="E209" s="132"/>
      <c r="F209" s="115"/>
      <c r="G209" s="115"/>
      <c r="H209" s="115"/>
      <c r="I209" s="115"/>
      <c r="J209" s="115"/>
      <c r="K209" s="115"/>
      <c r="L209" s="115"/>
      <c r="M209" s="115"/>
      <c r="N209" s="115"/>
      <c r="O209" s="115"/>
      <c r="P209" s="115"/>
      <c r="Q209" s="115"/>
      <c r="R209" s="115"/>
      <c r="S209" s="115"/>
      <c r="T209" s="115"/>
      <c r="U209" s="115"/>
      <c r="V209" s="414"/>
      <c r="W209" s="120"/>
      <c r="X209" s="120"/>
      <c r="Y209" s="120"/>
      <c r="Z209" s="396"/>
      <c r="AA209" s="396"/>
      <c r="AB209" s="396"/>
      <c r="AC209" s="398"/>
      <c r="AD209" s="178"/>
      <c r="AE209" s="178"/>
      <c r="AF209" s="178"/>
      <c r="AG209" s="178"/>
      <c r="AH209" s="178"/>
      <c r="AI209" s="178"/>
      <c r="AJ209" s="178"/>
      <c r="AK209" s="178"/>
      <c r="AL209" s="178"/>
      <c r="AM209" s="178"/>
      <c r="AN209" s="178"/>
      <c r="AO209" s="178"/>
      <c r="AP209" s="178"/>
      <c r="AQ209" s="178"/>
      <c r="AR209" s="178"/>
      <c r="AS209" s="178"/>
    </row>
    <row r="210" spans="1:45" s="21" customFormat="1" ht="13.5" customHeight="1" x14ac:dyDescent="0.4">
      <c r="A210" s="27"/>
      <c r="B210" s="648"/>
      <c r="C210" s="648"/>
      <c r="D210" s="131" t="s">
        <v>44</v>
      </c>
      <c r="E210" s="132"/>
      <c r="F210" s="115"/>
      <c r="G210" s="115"/>
      <c r="H210" s="115"/>
      <c r="I210" s="115"/>
      <c r="J210" s="115"/>
      <c r="K210" s="115"/>
      <c r="L210" s="115"/>
      <c r="M210" s="115"/>
      <c r="N210" s="115"/>
      <c r="O210" s="115"/>
      <c r="P210" s="115"/>
      <c r="Q210" s="115"/>
      <c r="R210" s="115"/>
      <c r="S210" s="115"/>
      <c r="T210" s="115"/>
      <c r="U210" s="115"/>
      <c r="V210" s="414"/>
      <c r="W210" s="120"/>
      <c r="X210" s="120"/>
      <c r="Y210" s="120"/>
      <c r="Z210" s="396"/>
      <c r="AA210" s="396"/>
      <c r="AB210" s="396"/>
      <c r="AC210" s="398"/>
      <c r="AD210" s="178"/>
      <c r="AE210" s="178"/>
      <c r="AF210" s="178"/>
      <c r="AG210" s="178"/>
      <c r="AH210" s="178"/>
      <c r="AI210" s="178"/>
      <c r="AJ210" s="178"/>
      <c r="AK210" s="178"/>
      <c r="AL210" s="178"/>
      <c r="AM210" s="178"/>
      <c r="AN210" s="178"/>
      <c r="AO210" s="178"/>
      <c r="AP210" s="178"/>
      <c r="AQ210" s="178"/>
      <c r="AR210" s="178"/>
      <c r="AS210" s="178"/>
    </row>
    <row r="211" spans="1:45" s="393" customFormat="1" ht="27" customHeight="1" x14ac:dyDescent="0.4">
      <c r="A211" s="649"/>
      <c r="B211" s="649"/>
      <c r="C211" s="649"/>
      <c r="E211" s="723" t="str">
        <f>UPPER('Talnagögn | Numerical Data'!$E$14)</f>
        <v>LOSUNARSPÁ: SVIÐSMYND BYGGÐ Á AÐGERÐUM STJÓRNVALDA</v>
      </c>
      <c r="F211" s="394"/>
      <c r="G211" s="394"/>
      <c r="H211" s="394"/>
      <c r="I211" s="394"/>
      <c r="J211" s="394"/>
      <c r="K211" s="394"/>
      <c r="L211" s="394"/>
      <c r="M211" s="394"/>
      <c r="N211" s="394"/>
      <c r="O211" s="394"/>
      <c r="P211" s="394"/>
      <c r="Q211" s="394"/>
      <c r="R211" s="394"/>
      <c r="S211" s="394"/>
      <c r="T211" s="394"/>
      <c r="U211" s="394"/>
      <c r="V211" s="412"/>
      <c r="Y211" s="723" t="str">
        <f>UPPER('Talnagögn | Numerical Data'!$G$14)</f>
        <v>EMISSION PROJECTIONS: GOVERNMENT POLICY-BASED SCENARIO</v>
      </c>
      <c r="Z211" s="394"/>
      <c r="AA211" s="394"/>
      <c r="AB211" s="394"/>
      <c r="AC211" s="394"/>
      <c r="AD211" s="394"/>
      <c r="AE211" s="394"/>
      <c r="AF211" s="394"/>
      <c r="AG211" s="394"/>
      <c r="AH211" s="394"/>
      <c r="AI211" s="394"/>
      <c r="AJ211" s="394"/>
      <c r="AK211" s="394"/>
      <c r="AL211" s="394"/>
      <c r="AM211" s="394"/>
      <c r="AN211" s="394"/>
      <c r="AO211" s="394"/>
      <c r="AP211" s="394"/>
      <c r="AQ211" s="394"/>
      <c r="AR211" s="394"/>
      <c r="AS211" s="394"/>
    </row>
    <row r="212" spans="1:45" s="21" customFormat="1" ht="13.5" customHeight="1" x14ac:dyDescent="0.4">
      <c r="A212" s="27"/>
      <c r="B212" s="648"/>
      <c r="C212" s="648"/>
      <c r="D212" s="131" t="s">
        <v>44</v>
      </c>
      <c r="E212" s="132"/>
      <c r="F212" s="115"/>
      <c r="G212" s="115"/>
      <c r="H212" s="115"/>
      <c r="I212" s="115"/>
      <c r="J212" s="115"/>
      <c r="K212" s="115"/>
      <c r="L212" s="115"/>
      <c r="M212" s="115"/>
      <c r="N212" s="115"/>
      <c r="O212" s="115"/>
      <c r="P212" s="115"/>
      <c r="Q212" s="115"/>
      <c r="R212" s="115"/>
      <c r="S212" s="115"/>
      <c r="T212" s="115"/>
      <c r="U212" s="115"/>
      <c r="V212" s="414"/>
      <c r="W212" s="120"/>
      <c r="X212" s="120"/>
      <c r="Y212" s="120"/>
      <c r="Z212" s="396"/>
      <c r="AA212" s="396"/>
      <c r="AB212" s="396"/>
      <c r="AC212" s="398"/>
      <c r="AD212" s="178"/>
      <c r="AE212" s="178"/>
      <c r="AF212" s="178"/>
      <c r="AG212" s="178"/>
      <c r="AH212" s="178"/>
      <c r="AI212" s="178"/>
      <c r="AJ212" s="178"/>
      <c r="AK212" s="178"/>
      <c r="AL212" s="178"/>
      <c r="AM212" s="178"/>
      <c r="AN212" s="178"/>
      <c r="AO212" s="178"/>
      <c r="AP212" s="178"/>
      <c r="AQ212" s="178"/>
      <c r="AR212" s="178"/>
      <c r="AS212" s="178"/>
    </row>
    <row r="213" spans="1:45" s="21" customFormat="1" ht="13.5" customHeight="1" x14ac:dyDescent="0.4">
      <c r="A213" s="27"/>
      <c r="B213" s="648"/>
      <c r="C213" s="648"/>
      <c r="D213" s="131"/>
      <c r="E213" s="132"/>
      <c r="F213" s="115"/>
      <c r="G213" s="115"/>
      <c r="H213" s="115"/>
      <c r="I213" s="115"/>
      <c r="J213" s="115"/>
      <c r="K213" s="115"/>
      <c r="L213" s="115"/>
      <c r="M213" s="115"/>
      <c r="N213" s="115"/>
      <c r="O213" s="115"/>
      <c r="P213" s="115"/>
      <c r="Q213" s="115"/>
      <c r="R213" s="115"/>
      <c r="S213" s="115"/>
      <c r="T213" s="115"/>
      <c r="U213" s="115"/>
      <c r="V213" s="414"/>
      <c r="W213" s="120"/>
      <c r="X213" s="120"/>
      <c r="Y213" s="120"/>
      <c r="Z213" s="396"/>
      <c r="AA213" s="396"/>
      <c r="AB213" s="396"/>
      <c r="AC213" s="398"/>
      <c r="AD213" s="178"/>
      <c r="AE213" s="178"/>
      <c r="AF213" s="178"/>
      <c r="AG213" s="178"/>
      <c r="AH213" s="178"/>
      <c r="AI213" s="178"/>
      <c r="AJ213" s="178"/>
      <c r="AK213" s="178"/>
      <c r="AL213" s="178"/>
      <c r="AM213" s="178"/>
      <c r="AN213" s="178"/>
      <c r="AO213" s="178"/>
      <c r="AP213" s="178"/>
      <c r="AQ213" s="178"/>
      <c r="AR213" s="178"/>
      <c r="AS213" s="178"/>
    </row>
    <row r="214" spans="1:45" s="21" customFormat="1" ht="13.5" customHeight="1" x14ac:dyDescent="0.4">
      <c r="A214" s="27"/>
      <c r="B214" s="648"/>
      <c r="C214" s="648"/>
      <c r="D214" s="131"/>
      <c r="E214" s="132"/>
      <c r="F214" s="115"/>
      <c r="G214" s="115"/>
      <c r="H214" s="115"/>
      <c r="I214" s="115"/>
      <c r="J214" s="115"/>
      <c r="K214" s="115"/>
      <c r="L214" s="115"/>
      <c r="M214" s="115"/>
      <c r="N214" s="115"/>
      <c r="O214" s="115"/>
      <c r="P214" s="115"/>
      <c r="Q214" s="115"/>
      <c r="R214" s="115"/>
      <c r="S214" s="115"/>
      <c r="T214" s="115"/>
      <c r="U214" s="115"/>
      <c r="V214" s="414"/>
      <c r="W214" s="120"/>
      <c r="X214" s="120"/>
      <c r="Y214" s="120"/>
      <c r="Z214" s="396"/>
      <c r="AA214" s="396"/>
      <c r="AB214" s="396"/>
      <c r="AC214" s="398"/>
      <c r="AD214" s="178"/>
      <c r="AE214" s="178"/>
      <c r="AF214" s="178"/>
      <c r="AG214" s="178"/>
      <c r="AH214" s="178"/>
      <c r="AI214" s="178"/>
      <c r="AJ214" s="178"/>
      <c r="AK214" s="178"/>
      <c r="AL214" s="178"/>
      <c r="AM214" s="178"/>
      <c r="AN214" s="178"/>
      <c r="AO214" s="178"/>
      <c r="AP214" s="178"/>
      <c r="AQ214" s="178"/>
      <c r="AR214" s="178"/>
      <c r="AS214" s="178"/>
    </row>
    <row r="215" spans="1:45" s="21" customFormat="1" ht="13.5" customHeight="1" x14ac:dyDescent="0.4">
      <c r="A215" s="27"/>
      <c r="B215" s="648"/>
      <c r="C215" s="648"/>
      <c r="D215" s="131"/>
      <c r="E215" s="132"/>
      <c r="F215" s="115"/>
      <c r="G215" s="115"/>
      <c r="H215" s="115"/>
      <c r="I215" s="115"/>
      <c r="J215" s="115"/>
      <c r="K215" s="115"/>
      <c r="L215" s="115"/>
      <c r="M215" s="115"/>
      <c r="N215" s="115"/>
      <c r="O215" s="115"/>
      <c r="P215" s="115"/>
      <c r="Q215" s="115"/>
      <c r="R215" s="115"/>
      <c r="S215" s="115"/>
      <c r="T215" s="115"/>
      <c r="U215" s="115"/>
      <c r="V215" s="414"/>
      <c r="W215" s="120"/>
      <c r="X215" s="120"/>
      <c r="Y215" s="120"/>
      <c r="Z215" s="396"/>
      <c r="AA215" s="396"/>
      <c r="AB215" s="396"/>
      <c r="AC215" s="398"/>
      <c r="AD215" s="178"/>
      <c r="AE215" s="178"/>
      <c r="AF215" s="178"/>
      <c r="AG215" s="178"/>
      <c r="AH215" s="178"/>
      <c r="AI215" s="178"/>
      <c r="AJ215" s="178"/>
      <c r="AK215" s="178"/>
      <c r="AL215" s="178"/>
      <c r="AM215" s="178"/>
      <c r="AN215" s="178"/>
      <c r="AO215" s="178"/>
      <c r="AP215" s="178"/>
      <c r="AQ215" s="178"/>
      <c r="AR215" s="178"/>
      <c r="AS215" s="178"/>
    </row>
    <row r="216" spans="1:45" s="21" customFormat="1" ht="13.5" customHeight="1" x14ac:dyDescent="0.4">
      <c r="A216" s="27"/>
      <c r="B216" s="648"/>
      <c r="C216" s="648"/>
      <c r="D216" s="131"/>
      <c r="E216" s="132"/>
      <c r="F216" s="115"/>
      <c r="G216" s="115"/>
      <c r="H216" s="115"/>
      <c r="I216" s="115"/>
      <c r="J216" s="115"/>
      <c r="K216" s="115"/>
      <c r="L216" s="115"/>
      <c r="M216" s="115"/>
      <c r="N216" s="115"/>
      <c r="O216" s="115"/>
      <c r="P216" s="115"/>
      <c r="Q216" s="115"/>
      <c r="R216" s="115"/>
      <c r="S216" s="115"/>
      <c r="T216" s="115"/>
      <c r="U216" s="115"/>
      <c r="V216" s="414"/>
      <c r="W216" s="120"/>
      <c r="X216" s="120"/>
      <c r="Y216" s="120"/>
      <c r="Z216" s="396"/>
      <c r="AA216" s="396"/>
      <c r="AB216" s="396"/>
      <c r="AC216" s="398"/>
      <c r="AD216" s="178"/>
      <c r="AE216" s="178"/>
      <c r="AF216" s="178"/>
      <c r="AG216" s="178"/>
      <c r="AH216" s="178"/>
      <c r="AI216" s="178"/>
      <c r="AJ216" s="178"/>
      <c r="AK216" s="178"/>
      <c r="AL216" s="178"/>
      <c r="AM216" s="178"/>
      <c r="AN216" s="178"/>
      <c r="AO216" s="178"/>
      <c r="AP216" s="178"/>
      <c r="AQ216" s="178"/>
      <c r="AR216" s="178"/>
      <c r="AS216" s="178"/>
    </row>
    <row r="217" spans="1:45" s="21" customFormat="1" ht="13.5" customHeight="1" x14ac:dyDescent="0.4">
      <c r="A217" s="27"/>
      <c r="B217" s="648"/>
      <c r="C217" s="648"/>
      <c r="D217" s="131"/>
      <c r="E217" s="132"/>
      <c r="F217" s="115"/>
      <c r="G217" s="115"/>
      <c r="H217" s="115"/>
      <c r="I217" s="115"/>
      <c r="J217" s="115"/>
      <c r="K217" s="115"/>
      <c r="L217" s="115"/>
      <c r="M217" s="115"/>
      <c r="N217" s="115"/>
      <c r="O217" s="115"/>
      <c r="P217" s="115"/>
      <c r="Q217" s="115"/>
      <c r="R217" s="115"/>
      <c r="S217" s="115"/>
      <c r="T217" s="115"/>
      <c r="U217" s="115"/>
      <c r="V217" s="414"/>
      <c r="W217" s="120"/>
      <c r="X217" s="120"/>
      <c r="Y217" s="120"/>
      <c r="Z217" s="396"/>
      <c r="AA217" s="396"/>
      <c r="AB217" s="396"/>
      <c r="AC217" s="398"/>
      <c r="AD217" s="178"/>
      <c r="AE217" s="178"/>
      <c r="AF217" s="178"/>
      <c r="AG217" s="178"/>
      <c r="AH217" s="178"/>
      <c r="AI217" s="178"/>
      <c r="AJ217" s="178"/>
      <c r="AK217" s="178"/>
      <c r="AL217" s="178"/>
      <c r="AM217" s="178"/>
      <c r="AN217" s="178"/>
      <c r="AO217" s="178"/>
      <c r="AP217" s="178"/>
      <c r="AQ217" s="178"/>
      <c r="AR217" s="178"/>
      <c r="AS217" s="178"/>
    </row>
    <row r="218" spans="1:45" s="21" customFormat="1" ht="13.5" customHeight="1" x14ac:dyDescent="0.4">
      <c r="A218" s="27"/>
      <c r="B218" s="648"/>
      <c r="C218" s="648"/>
      <c r="D218" s="131"/>
      <c r="E218" s="132"/>
      <c r="F218" s="115"/>
      <c r="G218" s="115"/>
      <c r="H218" s="115"/>
      <c r="I218" s="115"/>
      <c r="J218" s="115"/>
      <c r="K218" s="115"/>
      <c r="L218" s="115"/>
      <c r="M218" s="115"/>
      <c r="N218" s="115"/>
      <c r="O218" s="115"/>
      <c r="P218" s="115"/>
      <c r="Q218" s="115"/>
      <c r="R218" s="115"/>
      <c r="S218" s="115"/>
      <c r="T218" s="115"/>
      <c r="U218" s="115"/>
      <c r="V218" s="414"/>
      <c r="W218" s="120"/>
      <c r="X218" s="120"/>
      <c r="Y218" s="120"/>
      <c r="Z218" s="396"/>
      <c r="AA218" s="396"/>
      <c r="AB218" s="396"/>
      <c r="AC218" s="398"/>
      <c r="AD218" s="178"/>
      <c r="AE218" s="178"/>
      <c r="AF218" s="178"/>
      <c r="AG218" s="178"/>
      <c r="AH218" s="178"/>
      <c r="AI218" s="178"/>
      <c r="AJ218" s="178"/>
      <c r="AK218" s="178"/>
      <c r="AL218" s="178"/>
      <c r="AM218" s="178"/>
      <c r="AN218" s="178"/>
      <c r="AO218" s="178"/>
      <c r="AP218" s="178"/>
      <c r="AQ218" s="178"/>
      <c r="AR218" s="178"/>
      <c r="AS218" s="178"/>
    </row>
    <row r="219" spans="1:45" s="21" customFormat="1" ht="13.5" customHeight="1" x14ac:dyDescent="0.4">
      <c r="A219" s="27"/>
      <c r="B219" s="648"/>
      <c r="C219" s="648"/>
      <c r="D219" s="131"/>
      <c r="E219" s="132"/>
      <c r="F219" s="115"/>
      <c r="G219" s="115"/>
      <c r="H219" s="115"/>
      <c r="I219" s="115"/>
      <c r="J219" s="115"/>
      <c r="K219" s="115"/>
      <c r="L219" s="115"/>
      <c r="M219" s="115"/>
      <c r="N219" s="115"/>
      <c r="O219" s="115"/>
      <c r="P219" s="115"/>
      <c r="Q219" s="115"/>
      <c r="R219" s="115"/>
      <c r="S219" s="115"/>
      <c r="T219" s="115"/>
      <c r="U219" s="115"/>
      <c r="V219" s="414"/>
      <c r="W219" s="120"/>
      <c r="X219" s="120"/>
      <c r="Y219" s="120"/>
      <c r="Z219" s="396"/>
      <c r="AA219" s="396"/>
      <c r="AB219" s="396"/>
      <c r="AC219" s="398"/>
      <c r="AD219" s="178"/>
      <c r="AE219" s="178"/>
      <c r="AF219" s="178"/>
      <c r="AG219" s="178"/>
      <c r="AH219" s="178"/>
      <c r="AI219" s="178"/>
      <c r="AJ219" s="178"/>
      <c r="AK219" s="178"/>
      <c r="AL219" s="178"/>
      <c r="AM219" s="178"/>
      <c r="AN219" s="178"/>
      <c r="AO219" s="178"/>
      <c r="AP219" s="178"/>
      <c r="AQ219" s="178"/>
      <c r="AR219" s="178"/>
      <c r="AS219" s="178"/>
    </row>
    <row r="220" spans="1:45" s="21" customFormat="1" ht="13.5" customHeight="1" x14ac:dyDescent="0.4">
      <c r="A220" s="27"/>
      <c r="B220" s="648"/>
      <c r="C220" s="648"/>
      <c r="D220" s="131"/>
      <c r="E220" s="132"/>
      <c r="F220" s="115"/>
      <c r="G220" s="115"/>
      <c r="H220" s="115"/>
      <c r="I220" s="115"/>
      <c r="J220" s="115"/>
      <c r="K220" s="115"/>
      <c r="L220" s="115"/>
      <c r="M220" s="115"/>
      <c r="N220" s="115"/>
      <c r="O220" s="115"/>
      <c r="P220" s="115"/>
      <c r="Q220" s="115"/>
      <c r="R220" s="115"/>
      <c r="S220" s="115"/>
      <c r="T220" s="115"/>
      <c r="U220" s="115"/>
      <c r="V220" s="414"/>
      <c r="W220" s="120"/>
      <c r="X220" s="120"/>
      <c r="Y220" s="120"/>
      <c r="Z220" s="396"/>
      <c r="AA220" s="396"/>
      <c r="AB220" s="396"/>
      <c r="AC220" s="398"/>
      <c r="AD220" s="178"/>
      <c r="AE220" s="178"/>
      <c r="AF220" s="178"/>
      <c r="AG220" s="178"/>
      <c r="AH220" s="178"/>
      <c r="AI220" s="178"/>
      <c r="AJ220" s="178"/>
      <c r="AK220" s="178"/>
      <c r="AL220" s="178"/>
      <c r="AM220" s="178"/>
      <c r="AN220" s="178"/>
      <c r="AO220" s="178"/>
      <c r="AP220" s="178"/>
      <c r="AQ220" s="178"/>
      <c r="AR220" s="178"/>
      <c r="AS220" s="178"/>
    </row>
    <row r="221" spans="1:45" s="21" customFormat="1" ht="13.5" customHeight="1" x14ac:dyDescent="0.4">
      <c r="A221" s="27"/>
      <c r="B221" s="648"/>
      <c r="C221" s="648"/>
      <c r="D221" s="131"/>
      <c r="E221" s="132"/>
      <c r="F221" s="115"/>
      <c r="G221" s="115"/>
      <c r="H221" s="115"/>
      <c r="I221" s="115"/>
      <c r="J221" s="115"/>
      <c r="K221" s="115"/>
      <c r="L221" s="115"/>
      <c r="M221" s="115"/>
      <c r="N221" s="115"/>
      <c r="O221" s="115"/>
      <c r="P221" s="115"/>
      <c r="Q221" s="115"/>
      <c r="R221" s="115"/>
      <c r="S221" s="115"/>
      <c r="T221" s="115"/>
      <c r="U221" s="115"/>
      <c r="V221" s="414"/>
      <c r="W221" s="120"/>
      <c r="X221" s="120"/>
      <c r="Y221" s="120"/>
      <c r="Z221" s="396"/>
      <c r="AA221" s="396"/>
      <c r="AB221" s="396"/>
      <c r="AC221" s="398"/>
      <c r="AD221" s="178"/>
      <c r="AE221" s="178"/>
      <c r="AF221" s="178"/>
      <c r="AG221" s="178"/>
      <c r="AH221" s="178"/>
      <c r="AI221" s="178"/>
      <c r="AJ221" s="178"/>
      <c r="AK221" s="178"/>
      <c r="AL221" s="178"/>
      <c r="AM221" s="178"/>
      <c r="AN221" s="178"/>
      <c r="AO221" s="178"/>
      <c r="AP221" s="178"/>
      <c r="AQ221" s="178"/>
      <c r="AR221" s="178"/>
      <c r="AS221" s="178"/>
    </row>
    <row r="222" spans="1:45" s="21" customFormat="1" ht="13.5" customHeight="1" x14ac:dyDescent="0.4">
      <c r="A222" s="27"/>
      <c r="B222" s="648"/>
      <c r="C222" s="648"/>
      <c r="D222" s="131"/>
      <c r="E222" s="132"/>
      <c r="F222" s="115"/>
      <c r="G222" s="115"/>
      <c r="H222" s="115"/>
      <c r="I222" s="115"/>
      <c r="J222" s="115"/>
      <c r="K222" s="115"/>
      <c r="L222" s="115"/>
      <c r="M222" s="115"/>
      <c r="N222" s="115"/>
      <c r="O222" s="115"/>
      <c r="P222" s="115"/>
      <c r="Q222" s="115"/>
      <c r="R222" s="115"/>
      <c r="S222" s="115"/>
      <c r="T222" s="115"/>
      <c r="U222" s="115"/>
      <c r="V222" s="414"/>
      <c r="W222" s="120"/>
      <c r="X222" s="120"/>
      <c r="Y222" s="120"/>
      <c r="Z222" s="396"/>
      <c r="AA222" s="396"/>
      <c r="AB222" s="396"/>
      <c r="AC222" s="398"/>
      <c r="AD222" s="178"/>
      <c r="AE222" s="178"/>
      <c r="AF222" s="178"/>
      <c r="AG222" s="178"/>
      <c r="AH222" s="178"/>
      <c r="AI222" s="178"/>
      <c r="AJ222" s="178"/>
      <c r="AK222" s="178"/>
      <c r="AL222" s="178"/>
      <c r="AM222" s="178"/>
      <c r="AN222" s="178"/>
      <c r="AO222" s="178"/>
      <c r="AP222" s="178"/>
      <c r="AQ222" s="178"/>
      <c r="AR222" s="178"/>
      <c r="AS222" s="178"/>
    </row>
    <row r="223" spans="1:45" s="21" customFormat="1" ht="13.5" customHeight="1" x14ac:dyDescent="0.4">
      <c r="A223" s="27"/>
      <c r="B223" s="648"/>
      <c r="C223" s="648"/>
      <c r="D223" s="131"/>
      <c r="E223" s="132"/>
      <c r="F223" s="115"/>
      <c r="G223" s="115"/>
      <c r="H223" s="115"/>
      <c r="I223" s="115"/>
      <c r="J223" s="115"/>
      <c r="K223" s="115"/>
      <c r="L223" s="115"/>
      <c r="M223" s="115"/>
      <c r="N223" s="115"/>
      <c r="O223" s="115"/>
      <c r="P223" s="115"/>
      <c r="Q223" s="115"/>
      <c r="R223" s="115"/>
      <c r="S223" s="115"/>
      <c r="T223" s="115"/>
      <c r="U223" s="115"/>
      <c r="V223" s="414"/>
      <c r="W223" s="120"/>
      <c r="X223" s="120"/>
      <c r="Y223" s="120"/>
      <c r="Z223" s="396"/>
      <c r="AA223" s="396"/>
      <c r="AB223" s="396"/>
      <c r="AC223" s="398"/>
      <c r="AD223" s="178"/>
      <c r="AE223" s="178"/>
      <c r="AF223" s="178"/>
      <c r="AG223" s="178"/>
      <c r="AH223" s="178"/>
      <c r="AI223" s="178"/>
      <c r="AJ223" s="178"/>
      <c r="AK223" s="178"/>
      <c r="AL223" s="178"/>
      <c r="AM223" s="178"/>
      <c r="AN223" s="178"/>
      <c r="AO223" s="178"/>
      <c r="AP223" s="178"/>
      <c r="AQ223" s="178"/>
      <c r="AR223" s="178"/>
      <c r="AS223" s="178"/>
    </row>
    <row r="224" spans="1:45" s="21" customFormat="1" ht="13.5" customHeight="1" x14ac:dyDescent="0.4">
      <c r="A224" s="27"/>
      <c r="B224" s="648"/>
      <c r="C224" s="648"/>
      <c r="D224" s="131"/>
      <c r="E224" s="132"/>
      <c r="F224" s="115"/>
      <c r="G224" s="115"/>
      <c r="H224" s="115"/>
      <c r="I224" s="115"/>
      <c r="J224" s="115"/>
      <c r="K224" s="115"/>
      <c r="L224" s="115"/>
      <c r="M224" s="115"/>
      <c r="N224" s="115"/>
      <c r="O224" s="115"/>
      <c r="P224" s="115"/>
      <c r="Q224" s="115"/>
      <c r="R224" s="115"/>
      <c r="S224" s="115"/>
      <c r="T224" s="115"/>
      <c r="U224" s="115"/>
      <c r="V224" s="414"/>
      <c r="W224" s="120"/>
      <c r="X224" s="120"/>
      <c r="Y224" s="120"/>
      <c r="Z224" s="396"/>
      <c r="AA224" s="396"/>
      <c r="AB224" s="396"/>
      <c r="AC224" s="398"/>
      <c r="AD224" s="178"/>
      <c r="AE224" s="178"/>
      <c r="AF224" s="178"/>
      <c r="AG224" s="178"/>
      <c r="AH224" s="178"/>
      <c r="AI224" s="178"/>
      <c r="AJ224" s="178"/>
      <c r="AK224" s="178"/>
      <c r="AL224" s="178"/>
      <c r="AM224" s="178"/>
      <c r="AN224" s="178"/>
      <c r="AO224" s="178"/>
      <c r="AP224" s="178"/>
      <c r="AQ224" s="178"/>
      <c r="AR224" s="178"/>
      <c r="AS224" s="178"/>
    </row>
    <row r="225" spans="1:45" s="21" customFormat="1" ht="13.5" customHeight="1" x14ac:dyDescent="0.4">
      <c r="A225" s="27"/>
      <c r="B225" s="648"/>
      <c r="C225" s="648"/>
      <c r="D225" s="131"/>
      <c r="E225" s="132"/>
      <c r="F225" s="115"/>
      <c r="G225" s="115"/>
      <c r="H225" s="115"/>
      <c r="I225" s="115"/>
      <c r="J225" s="115"/>
      <c r="K225" s="115"/>
      <c r="L225" s="115"/>
      <c r="M225" s="115"/>
      <c r="N225" s="115"/>
      <c r="O225" s="115"/>
      <c r="P225" s="115"/>
      <c r="Q225" s="115"/>
      <c r="R225" s="115"/>
      <c r="S225" s="115"/>
      <c r="T225" s="115"/>
      <c r="U225" s="115"/>
      <c r="V225" s="414"/>
      <c r="W225" s="120"/>
      <c r="X225" s="120"/>
      <c r="Y225" s="120"/>
      <c r="Z225" s="396"/>
      <c r="AA225" s="396"/>
      <c r="AB225" s="396"/>
      <c r="AC225" s="398"/>
      <c r="AD225" s="178"/>
      <c r="AE225" s="178"/>
      <c r="AF225" s="178"/>
      <c r="AG225" s="178"/>
      <c r="AH225" s="178"/>
      <c r="AI225" s="178"/>
      <c r="AJ225" s="178"/>
      <c r="AK225" s="178"/>
      <c r="AL225" s="178"/>
      <c r="AM225" s="178"/>
      <c r="AN225" s="178"/>
      <c r="AO225" s="178"/>
      <c r="AP225" s="178"/>
      <c r="AQ225" s="178"/>
      <c r="AR225" s="178"/>
      <c r="AS225" s="178"/>
    </row>
    <row r="226" spans="1:45" s="21" customFormat="1" ht="13.5" customHeight="1" x14ac:dyDescent="0.4">
      <c r="A226" s="27"/>
      <c r="B226" s="648"/>
      <c r="C226" s="648"/>
      <c r="D226" s="131"/>
      <c r="E226" s="132"/>
      <c r="F226" s="115"/>
      <c r="G226" s="115"/>
      <c r="H226" s="115"/>
      <c r="I226" s="115"/>
      <c r="J226" s="115"/>
      <c r="K226" s="115"/>
      <c r="L226" s="115"/>
      <c r="M226" s="115"/>
      <c r="N226" s="115"/>
      <c r="O226" s="115"/>
      <c r="P226" s="115"/>
      <c r="Q226" s="115"/>
      <c r="R226" s="115"/>
      <c r="S226" s="115"/>
      <c r="T226" s="115"/>
      <c r="U226" s="115"/>
      <c r="V226" s="414"/>
      <c r="W226" s="120"/>
      <c r="X226" s="120"/>
      <c r="Y226" s="120"/>
      <c r="Z226" s="396"/>
      <c r="AA226" s="396"/>
      <c r="AB226" s="396"/>
      <c r="AC226" s="398"/>
      <c r="AD226" s="178"/>
      <c r="AE226" s="178"/>
      <c r="AF226" s="178"/>
      <c r="AG226" s="178"/>
      <c r="AH226" s="178"/>
      <c r="AI226" s="178"/>
      <c r="AJ226" s="178"/>
      <c r="AK226" s="178"/>
      <c r="AL226" s="178"/>
      <c r="AM226" s="178"/>
      <c r="AN226" s="178"/>
      <c r="AO226" s="178"/>
      <c r="AP226" s="178"/>
      <c r="AQ226" s="178"/>
      <c r="AR226" s="178"/>
      <c r="AS226" s="178"/>
    </row>
    <row r="227" spans="1:45" s="21" customFormat="1" ht="13.5" customHeight="1" x14ac:dyDescent="0.4">
      <c r="A227" s="27"/>
      <c r="B227" s="648"/>
      <c r="C227" s="648"/>
      <c r="D227" s="131"/>
      <c r="E227" s="132"/>
      <c r="F227" s="115"/>
      <c r="G227" s="115"/>
      <c r="H227" s="115"/>
      <c r="I227" s="115"/>
      <c r="J227" s="115"/>
      <c r="K227" s="115"/>
      <c r="L227" s="115"/>
      <c r="M227" s="115"/>
      <c r="N227" s="115"/>
      <c r="O227" s="115"/>
      <c r="P227" s="115"/>
      <c r="Q227" s="115"/>
      <c r="R227" s="115"/>
      <c r="S227" s="115"/>
      <c r="T227" s="115"/>
      <c r="U227" s="115"/>
      <c r="V227" s="414"/>
      <c r="W227" s="120"/>
      <c r="X227" s="120"/>
      <c r="Y227" s="120"/>
      <c r="Z227" s="396"/>
      <c r="AA227" s="396"/>
      <c r="AB227" s="396"/>
      <c r="AC227" s="398"/>
      <c r="AD227" s="178"/>
      <c r="AE227" s="178"/>
      <c r="AF227" s="178"/>
      <c r="AG227" s="178"/>
      <c r="AH227" s="178"/>
      <c r="AI227" s="178"/>
      <c r="AJ227" s="178"/>
      <c r="AK227" s="178"/>
      <c r="AL227" s="178"/>
      <c r="AM227" s="178"/>
      <c r="AN227" s="178"/>
      <c r="AO227" s="178"/>
      <c r="AP227" s="178"/>
      <c r="AQ227" s="178"/>
      <c r="AR227" s="178"/>
      <c r="AS227" s="178"/>
    </row>
    <row r="228" spans="1:45" s="21" customFormat="1" ht="13.5" customHeight="1" x14ac:dyDescent="0.4">
      <c r="A228" s="27"/>
      <c r="B228" s="648"/>
      <c r="C228" s="648"/>
      <c r="D228" s="131"/>
      <c r="E228" s="132"/>
      <c r="F228" s="115"/>
      <c r="G228" s="115"/>
      <c r="H228" s="115"/>
      <c r="I228" s="115"/>
      <c r="J228" s="115"/>
      <c r="K228" s="115"/>
      <c r="L228" s="115"/>
      <c r="M228" s="115"/>
      <c r="N228" s="115"/>
      <c r="O228" s="115"/>
      <c r="P228" s="115"/>
      <c r="Q228" s="115"/>
      <c r="R228" s="115"/>
      <c r="S228" s="115"/>
      <c r="T228" s="115"/>
      <c r="U228" s="115"/>
      <c r="V228" s="414"/>
      <c r="W228" s="120"/>
      <c r="X228" s="120"/>
      <c r="Y228" s="120"/>
      <c r="Z228" s="396"/>
      <c r="AA228" s="396"/>
      <c r="AB228" s="396"/>
      <c r="AC228" s="398"/>
      <c r="AD228" s="178"/>
      <c r="AE228" s="178"/>
      <c r="AF228" s="178"/>
      <c r="AG228" s="178"/>
      <c r="AH228" s="178"/>
      <c r="AI228" s="178"/>
      <c r="AJ228" s="178"/>
      <c r="AK228" s="178"/>
      <c r="AL228" s="178"/>
      <c r="AM228" s="178"/>
      <c r="AN228" s="178"/>
      <c r="AO228" s="178"/>
      <c r="AP228" s="178"/>
      <c r="AQ228" s="178"/>
      <c r="AR228" s="178"/>
      <c r="AS228" s="178"/>
    </row>
    <row r="229" spans="1:45" s="21" customFormat="1" ht="13.5" customHeight="1" x14ac:dyDescent="0.4">
      <c r="A229" s="27"/>
      <c r="B229" s="648"/>
      <c r="C229" s="648"/>
      <c r="D229" s="131"/>
      <c r="E229" s="132"/>
      <c r="F229" s="115"/>
      <c r="G229" s="115"/>
      <c r="H229" s="115"/>
      <c r="I229" s="115"/>
      <c r="J229" s="115"/>
      <c r="K229" s="115"/>
      <c r="L229" s="115"/>
      <c r="M229" s="115"/>
      <c r="N229" s="115"/>
      <c r="O229" s="115"/>
      <c r="P229" s="115"/>
      <c r="Q229" s="115"/>
      <c r="R229" s="115"/>
      <c r="S229" s="115"/>
      <c r="T229" s="115"/>
      <c r="U229" s="115"/>
      <c r="V229" s="414"/>
      <c r="W229" s="120"/>
      <c r="X229" s="120"/>
      <c r="Y229" s="120"/>
      <c r="Z229" s="396"/>
      <c r="AA229" s="396"/>
      <c r="AB229" s="396"/>
      <c r="AC229" s="398"/>
      <c r="AD229" s="178"/>
      <c r="AE229" s="178"/>
      <c r="AF229" s="178"/>
      <c r="AG229" s="178"/>
      <c r="AH229" s="178"/>
      <c r="AI229" s="178"/>
      <c r="AJ229" s="178"/>
      <c r="AK229" s="178"/>
      <c r="AL229" s="178"/>
      <c r="AM229" s="178"/>
      <c r="AN229" s="178"/>
      <c r="AO229" s="178"/>
      <c r="AP229" s="178"/>
      <c r="AQ229" s="178"/>
      <c r="AR229" s="178"/>
      <c r="AS229" s="178"/>
    </row>
    <row r="230" spans="1:45" s="21" customFormat="1" ht="13.5" customHeight="1" x14ac:dyDescent="0.4">
      <c r="A230" s="27"/>
      <c r="B230" s="648"/>
      <c r="C230" s="648"/>
      <c r="D230" s="131"/>
      <c r="E230" s="132"/>
      <c r="F230" s="115"/>
      <c r="G230" s="115"/>
      <c r="H230" s="115"/>
      <c r="I230" s="115"/>
      <c r="J230" s="115"/>
      <c r="K230" s="115"/>
      <c r="L230" s="115"/>
      <c r="M230" s="115"/>
      <c r="N230" s="115"/>
      <c r="O230" s="115"/>
      <c r="P230" s="115"/>
      <c r="Q230" s="115"/>
      <c r="R230" s="115"/>
      <c r="S230" s="115"/>
      <c r="T230" s="115"/>
      <c r="U230" s="115"/>
      <c r="V230" s="414"/>
      <c r="W230" s="120"/>
      <c r="X230" s="120"/>
      <c r="Y230" s="120"/>
      <c r="Z230" s="396"/>
      <c r="AA230" s="396"/>
      <c r="AB230" s="396"/>
      <c r="AC230" s="398"/>
      <c r="AD230" s="178"/>
      <c r="AE230" s="178"/>
      <c r="AF230" s="178"/>
      <c r="AG230" s="178"/>
      <c r="AH230" s="178"/>
      <c r="AI230" s="178"/>
      <c r="AJ230" s="178"/>
      <c r="AK230" s="178"/>
      <c r="AL230" s="178"/>
      <c r="AM230" s="178"/>
      <c r="AN230" s="178"/>
      <c r="AO230" s="178"/>
      <c r="AP230" s="178"/>
      <c r="AQ230" s="178"/>
      <c r="AR230" s="178"/>
      <c r="AS230" s="178"/>
    </row>
    <row r="231" spans="1:45" s="21" customFormat="1" ht="13.5" customHeight="1" x14ac:dyDescent="0.4">
      <c r="A231" s="27"/>
      <c r="B231" s="648"/>
      <c r="C231" s="648"/>
      <c r="D231" s="131"/>
      <c r="E231" s="132"/>
      <c r="F231" s="115"/>
      <c r="G231" s="115"/>
      <c r="H231" s="115"/>
      <c r="I231" s="115"/>
      <c r="J231" s="115"/>
      <c r="K231" s="115"/>
      <c r="L231" s="115"/>
      <c r="M231" s="115"/>
      <c r="N231" s="115"/>
      <c r="O231" s="115"/>
      <c r="P231" s="115"/>
      <c r="Q231" s="115"/>
      <c r="R231" s="115"/>
      <c r="S231" s="115"/>
      <c r="T231" s="115"/>
      <c r="U231" s="115"/>
      <c r="V231" s="414"/>
      <c r="W231" s="120"/>
      <c r="X231" s="120"/>
      <c r="Y231" s="120"/>
      <c r="Z231" s="396"/>
      <c r="AA231" s="396"/>
      <c r="AB231" s="396"/>
      <c r="AC231" s="398"/>
      <c r="AD231" s="178"/>
      <c r="AE231" s="178"/>
      <c r="AF231" s="178"/>
      <c r="AG231" s="178"/>
      <c r="AH231" s="178"/>
      <c r="AI231" s="178"/>
      <c r="AJ231" s="178"/>
      <c r="AK231" s="178"/>
      <c r="AL231" s="178"/>
      <c r="AM231" s="178"/>
      <c r="AN231" s="178"/>
      <c r="AO231" s="178"/>
      <c r="AP231" s="178"/>
      <c r="AQ231" s="178"/>
      <c r="AR231" s="178"/>
      <c r="AS231" s="178"/>
    </row>
    <row r="232" spans="1:45" s="21" customFormat="1" ht="13.5" customHeight="1" x14ac:dyDescent="0.4">
      <c r="A232" s="27"/>
      <c r="B232" s="648"/>
      <c r="C232" s="648"/>
      <c r="D232" s="131"/>
      <c r="E232" s="132"/>
      <c r="F232" s="115"/>
      <c r="G232" s="115"/>
      <c r="H232" s="115"/>
      <c r="I232" s="115"/>
      <c r="J232" s="115"/>
      <c r="K232" s="115"/>
      <c r="L232" s="115"/>
      <c r="M232" s="115"/>
      <c r="N232" s="115"/>
      <c r="O232" s="115"/>
      <c r="P232" s="115"/>
      <c r="Q232" s="115"/>
      <c r="R232" s="115"/>
      <c r="S232" s="115"/>
      <c r="T232" s="115"/>
      <c r="U232" s="115"/>
      <c r="V232" s="414"/>
      <c r="W232" s="120"/>
      <c r="X232" s="120"/>
      <c r="Y232" s="120"/>
      <c r="Z232" s="396"/>
      <c r="AA232" s="396"/>
      <c r="AB232" s="396"/>
      <c r="AC232" s="398"/>
      <c r="AD232" s="178"/>
      <c r="AE232" s="178"/>
      <c r="AF232" s="178"/>
      <c r="AG232" s="178"/>
      <c r="AH232" s="178"/>
      <c r="AI232" s="178"/>
      <c r="AJ232" s="178"/>
      <c r="AK232" s="178"/>
      <c r="AL232" s="178"/>
      <c r="AM232" s="178"/>
      <c r="AN232" s="178"/>
      <c r="AO232" s="178"/>
      <c r="AP232" s="178"/>
      <c r="AQ232" s="178"/>
      <c r="AR232" s="178"/>
      <c r="AS232" s="178"/>
    </row>
    <row r="233" spans="1:45" s="21" customFormat="1" ht="13.5" customHeight="1" x14ac:dyDescent="0.4">
      <c r="A233" s="27"/>
      <c r="B233" s="648"/>
      <c r="C233" s="648"/>
      <c r="D233" s="131"/>
      <c r="E233" s="132"/>
      <c r="F233" s="115"/>
      <c r="G233" s="115"/>
      <c r="H233" s="115"/>
      <c r="I233" s="115"/>
      <c r="J233" s="115"/>
      <c r="K233" s="115"/>
      <c r="L233" s="115"/>
      <c r="M233" s="115"/>
      <c r="N233" s="115"/>
      <c r="O233" s="115"/>
      <c r="P233" s="115"/>
      <c r="Q233" s="115"/>
      <c r="R233" s="115"/>
      <c r="S233" s="115"/>
      <c r="T233" s="115"/>
      <c r="U233" s="115"/>
      <c r="V233" s="414"/>
      <c r="W233" s="120"/>
      <c r="X233" s="120"/>
      <c r="Y233" s="120"/>
      <c r="Z233" s="396"/>
      <c r="AA233" s="396"/>
      <c r="AB233" s="396"/>
      <c r="AC233" s="398"/>
      <c r="AD233" s="178"/>
      <c r="AE233" s="178"/>
      <c r="AF233" s="178"/>
      <c r="AG233" s="178"/>
      <c r="AH233" s="178"/>
      <c r="AI233" s="178"/>
      <c r="AJ233" s="178"/>
      <c r="AK233" s="178"/>
      <c r="AL233" s="178"/>
      <c r="AM233" s="178"/>
      <c r="AN233" s="178"/>
      <c r="AO233" s="178"/>
      <c r="AP233" s="178"/>
      <c r="AQ233" s="178"/>
      <c r="AR233" s="178"/>
      <c r="AS233" s="178"/>
    </row>
    <row r="234" spans="1:45" s="21" customFormat="1" ht="13.5" customHeight="1" x14ac:dyDescent="0.4">
      <c r="A234" s="27"/>
      <c r="B234" s="648"/>
      <c r="C234" s="648"/>
      <c r="D234" s="131"/>
      <c r="E234" s="132"/>
      <c r="F234" s="115"/>
      <c r="G234" s="115"/>
      <c r="H234" s="115"/>
      <c r="I234" s="115"/>
      <c r="J234" s="115"/>
      <c r="K234" s="115"/>
      <c r="L234" s="115"/>
      <c r="M234" s="115"/>
      <c r="N234" s="115"/>
      <c r="O234" s="115"/>
      <c r="P234" s="115"/>
      <c r="Q234" s="115"/>
      <c r="R234" s="115"/>
      <c r="S234" s="115"/>
      <c r="T234" s="115"/>
      <c r="U234" s="115"/>
      <c r="V234" s="414"/>
      <c r="W234" s="120"/>
      <c r="X234" s="120"/>
      <c r="Y234" s="120"/>
      <c r="Z234" s="396"/>
      <c r="AA234" s="396"/>
      <c r="AB234" s="396"/>
      <c r="AC234" s="398"/>
      <c r="AD234" s="178"/>
      <c r="AE234" s="178"/>
      <c r="AF234" s="178"/>
      <c r="AG234" s="178"/>
      <c r="AH234" s="178"/>
      <c r="AI234" s="178"/>
      <c r="AJ234" s="178"/>
      <c r="AK234" s="178"/>
      <c r="AL234" s="178"/>
      <c r="AM234" s="178"/>
      <c r="AN234" s="178"/>
      <c r="AO234" s="178"/>
      <c r="AP234" s="178"/>
      <c r="AQ234" s="178"/>
      <c r="AR234" s="178"/>
      <c r="AS234" s="178"/>
    </row>
    <row r="235" spans="1:45" s="21" customFormat="1" ht="13.5" customHeight="1" x14ac:dyDescent="0.4">
      <c r="A235" s="27"/>
      <c r="B235" s="648"/>
      <c r="C235" s="648"/>
      <c r="D235" s="131"/>
      <c r="E235" s="132"/>
      <c r="F235" s="115"/>
      <c r="G235" s="115"/>
      <c r="H235" s="115"/>
      <c r="I235" s="115"/>
      <c r="J235" s="115"/>
      <c r="K235" s="115"/>
      <c r="L235" s="115"/>
      <c r="M235" s="115"/>
      <c r="N235" s="115"/>
      <c r="O235" s="115"/>
      <c r="P235" s="115"/>
      <c r="Q235" s="115"/>
      <c r="R235" s="115"/>
      <c r="S235" s="115"/>
      <c r="T235" s="115"/>
      <c r="U235" s="115"/>
      <c r="V235" s="414"/>
      <c r="W235" s="120"/>
      <c r="X235" s="120"/>
      <c r="Y235" s="120"/>
      <c r="Z235" s="396"/>
      <c r="AA235" s="396"/>
      <c r="AB235" s="396"/>
      <c r="AC235" s="398"/>
      <c r="AD235" s="178"/>
      <c r="AE235" s="178"/>
      <c r="AF235" s="178"/>
      <c r="AG235" s="178"/>
      <c r="AH235" s="178"/>
      <c r="AI235" s="178"/>
      <c r="AJ235" s="178"/>
      <c r="AK235" s="178"/>
      <c r="AL235" s="178"/>
      <c r="AM235" s="178"/>
      <c r="AN235" s="178"/>
      <c r="AO235" s="178"/>
      <c r="AP235" s="178"/>
      <c r="AQ235" s="178"/>
      <c r="AR235" s="178"/>
      <c r="AS235" s="178"/>
    </row>
    <row r="236" spans="1:45" s="21" customFormat="1" ht="13.5" customHeight="1" x14ac:dyDescent="0.4">
      <c r="A236" s="27"/>
      <c r="B236" s="648"/>
      <c r="C236" s="648"/>
      <c r="D236" s="131"/>
      <c r="E236" s="132"/>
      <c r="F236" s="115"/>
      <c r="G236" s="115"/>
      <c r="H236" s="115"/>
      <c r="I236" s="115"/>
      <c r="J236" s="115"/>
      <c r="K236" s="115"/>
      <c r="L236" s="115"/>
      <c r="M236" s="115"/>
      <c r="N236" s="115"/>
      <c r="O236" s="115"/>
      <c r="P236" s="115"/>
      <c r="Q236" s="115"/>
      <c r="R236" s="115"/>
      <c r="S236" s="115"/>
      <c r="T236" s="115"/>
      <c r="U236" s="115"/>
      <c r="V236" s="414"/>
      <c r="W236" s="120"/>
      <c r="X236" s="120"/>
      <c r="Y236" s="120"/>
      <c r="Z236" s="396"/>
      <c r="AA236" s="396"/>
      <c r="AB236" s="396"/>
      <c r="AC236" s="398"/>
      <c r="AD236" s="178"/>
      <c r="AE236" s="178"/>
      <c r="AF236" s="178"/>
      <c r="AG236" s="178"/>
      <c r="AH236" s="178"/>
      <c r="AI236" s="178"/>
      <c r="AJ236" s="178"/>
      <c r="AK236" s="178"/>
      <c r="AL236" s="178"/>
      <c r="AM236" s="178"/>
      <c r="AN236" s="178"/>
      <c r="AO236" s="178"/>
      <c r="AP236" s="178"/>
      <c r="AQ236" s="178"/>
      <c r="AR236" s="178"/>
      <c r="AS236" s="178"/>
    </row>
    <row r="237" spans="1:45" s="21" customFormat="1" ht="13.5" customHeight="1" x14ac:dyDescent="0.4">
      <c r="A237" s="27"/>
      <c r="B237" s="648"/>
      <c r="C237" s="648"/>
      <c r="D237" s="131"/>
      <c r="E237" s="132"/>
      <c r="F237" s="115"/>
      <c r="G237" s="115"/>
      <c r="H237" s="115"/>
      <c r="I237" s="115"/>
      <c r="J237" s="115"/>
      <c r="K237" s="115"/>
      <c r="L237" s="115"/>
      <c r="M237" s="115"/>
      <c r="N237" s="115"/>
      <c r="O237" s="115"/>
      <c r="P237" s="115"/>
      <c r="Q237" s="115"/>
      <c r="R237" s="115"/>
      <c r="S237" s="115"/>
      <c r="T237" s="115"/>
      <c r="U237" s="115"/>
      <c r="V237" s="414"/>
      <c r="W237" s="120"/>
      <c r="X237" s="120"/>
      <c r="Y237" s="120"/>
      <c r="Z237" s="396"/>
      <c r="AA237" s="396"/>
      <c r="AB237" s="396"/>
      <c r="AC237" s="398"/>
      <c r="AD237" s="178"/>
      <c r="AE237" s="178"/>
      <c r="AF237" s="178"/>
      <c r="AG237" s="178"/>
      <c r="AH237" s="178"/>
      <c r="AI237" s="178"/>
      <c r="AJ237" s="178"/>
      <c r="AK237" s="178"/>
      <c r="AL237" s="178"/>
      <c r="AM237" s="178"/>
      <c r="AN237" s="178"/>
      <c r="AO237" s="178"/>
      <c r="AP237" s="178"/>
      <c r="AQ237" s="178"/>
      <c r="AR237" s="178"/>
      <c r="AS237" s="178"/>
    </row>
    <row r="238" spans="1:45" s="21" customFormat="1" ht="13.5" customHeight="1" x14ac:dyDescent="0.4">
      <c r="A238" s="27"/>
      <c r="B238" s="648"/>
      <c r="C238" s="648"/>
      <c r="D238" s="131"/>
      <c r="E238" s="132"/>
      <c r="F238" s="115"/>
      <c r="G238" s="115"/>
      <c r="H238" s="115"/>
      <c r="I238" s="115"/>
      <c r="J238" s="115"/>
      <c r="K238" s="115"/>
      <c r="L238" s="115"/>
      <c r="M238" s="115"/>
      <c r="N238" s="115"/>
      <c r="O238" s="115"/>
      <c r="P238" s="115"/>
      <c r="Q238" s="115"/>
      <c r="R238" s="115"/>
      <c r="S238" s="115"/>
      <c r="T238" s="115"/>
      <c r="U238" s="115"/>
      <c r="V238" s="414"/>
      <c r="W238" s="120"/>
      <c r="X238" s="120"/>
      <c r="Y238" s="120"/>
      <c r="Z238" s="396"/>
      <c r="AA238" s="396"/>
      <c r="AB238" s="396"/>
      <c r="AC238" s="398"/>
      <c r="AD238" s="178"/>
      <c r="AE238" s="178"/>
      <c r="AF238" s="178"/>
      <c r="AG238" s="178"/>
      <c r="AH238" s="178"/>
      <c r="AI238" s="178"/>
      <c r="AJ238" s="178"/>
      <c r="AK238" s="178"/>
      <c r="AL238" s="178"/>
      <c r="AM238" s="178"/>
      <c r="AN238" s="178"/>
      <c r="AO238" s="178"/>
      <c r="AP238" s="178"/>
      <c r="AQ238" s="178"/>
      <c r="AR238" s="178"/>
      <c r="AS238" s="178"/>
    </row>
    <row r="239" spans="1:45" s="21" customFormat="1" ht="13.5" customHeight="1" x14ac:dyDescent="0.4">
      <c r="A239" s="27"/>
      <c r="B239" s="648"/>
      <c r="C239" s="648"/>
      <c r="D239" s="131"/>
      <c r="E239" s="132"/>
      <c r="F239" s="115"/>
      <c r="G239" s="115"/>
      <c r="H239" s="115"/>
      <c r="I239" s="115"/>
      <c r="J239" s="115"/>
      <c r="K239" s="115"/>
      <c r="L239" s="115"/>
      <c r="M239" s="115"/>
      <c r="N239" s="115"/>
      <c r="O239" s="115"/>
      <c r="P239" s="115"/>
      <c r="Q239" s="115"/>
      <c r="R239" s="115"/>
      <c r="S239" s="115"/>
      <c r="T239" s="115"/>
      <c r="U239" s="115"/>
      <c r="V239" s="414"/>
      <c r="W239" s="120"/>
      <c r="X239" s="120"/>
      <c r="Y239" s="120"/>
      <c r="Z239" s="396"/>
      <c r="AA239" s="396"/>
      <c r="AB239" s="396"/>
      <c r="AC239" s="398"/>
      <c r="AD239" s="178"/>
      <c r="AE239" s="178"/>
      <c r="AF239" s="178"/>
      <c r="AG239" s="178"/>
      <c r="AH239" s="178"/>
      <c r="AI239" s="178"/>
      <c r="AJ239" s="178"/>
      <c r="AK239" s="178"/>
      <c r="AL239" s="178"/>
      <c r="AM239" s="178"/>
      <c r="AN239" s="178"/>
      <c r="AO239" s="178"/>
      <c r="AP239" s="178"/>
      <c r="AQ239" s="178"/>
      <c r="AR239" s="178"/>
      <c r="AS239" s="178"/>
    </row>
    <row r="240" spans="1:45" s="21" customFormat="1" ht="13.5" customHeight="1" x14ac:dyDescent="0.4">
      <c r="A240" s="27"/>
      <c r="B240" s="648"/>
      <c r="C240" s="648"/>
      <c r="D240" s="131"/>
      <c r="E240" s="132"/>
      <c r="F240" s="115"/>
      <c r="G240" s="115"/>
      <c r="H240" s="115"/>
      <c r="I240" s="115"/>
      <c r="J240" s="115"/>
      <c r="K240" s="115"/>
      <c r="L240" s="115"/>
      <c r="M240" s="115"/>
      <c r="N240" s="115"/>
      <c r="O240" s="115"/>
      <c r="P240" s="115"/>
      <c r="Q240" s="115"/>
      <c r="R240" s="115"/>
      <c r="S240" s="115"/>
      <c r="T240" s="115"/>
      <c r="U240" s="115"/>
      <c r="V240" s="414"/>
      <c r="W240" s="120"/>
      <c r="X240" s="120"/>
      <c r="Y240" s="120"/>
      <c r="Z240" s="396"/>
      <c r="AA240" s="396"/>
      <c r="AB240" s="396"/>
      <c r="AC240" s="398"/>
      <c r="AD240" s="178"/>
      <c r="AE240" s="178"/>
      <c r="AF240" s="178"/>
      <c r="AG240" s="178"/>
      <c r="AH240" s="178"/>
      <c r="AI240" s="178"/>
      <c r="AJ240" s="178"/>
      <c r="AK240" s="178"/>
      <c r="AL240" s="178"/>
      <c r="AM240" s="178"/>
      <c r="AN240" s="178"/>
      <c r="AO240" s="178"/>
      <c r="AP240" s="178"/>
      <c r="AQ240" s="178"/>
      <c r="AR240" s="178"/>
      <c r="AS240" s="178"/>
    </row>
    <row r="241" spans="1:45" s="21" customFormat="1" ht="13.5" customHeight="1" x14ac:dyDescent="0.4">
      <c r="A241" s="27"/>
      <c r="B241" s="648"/>
      <c r="C241" s="648"/>
      <c r="D241" s="131"/>
      <c r="E241" s="132"/>
      <c r="F241" s="115"/>
      <c r="G241" s="115"/>
      <c r="H241" s="115"/>
      <c r="I241" s="115"/>
      <c r="J241" s="115"/>
      <c r="K241" s="115"/>
      <c r="L241" s="115"/>
      <c r="M241" s="115"/>
      <c r="N241" s="115"/>
      <c r="O241" s="115"/>
      <c r="P241" s="115"/>
      <c r="Q241" s="115"/>
      <c r="R241" s="115"/>
      <c r="S241" s="115"/>
      <c r="T241" s="115"/>
      <c r="U241" s="115"/>
      <c r="V241" s="414"/>
      <c r="W241" s="120"/>
      <c r="X241" s="120"/>
      <c r="Y241" s="120"/>
      <c r="Z241" s="396"/>
      <c r="AA241" s="396"/>
      <c r="AB241" s="396"/>
      <c r="AC241" s="398"/>
      <c r="AD241" s="178"/>
      <c r="AE241" s="178"/>
      <c r="AF241" s="178"/>
      <c r="AG241" s="178"/>
      <c r="AH241" s="178"/>
      <c r="AI241" s="178"/>
      <c r="AJ241" s="178"/>
      <c r="AK241" s="178"/>
      <c r="AL241" s="178"/>
      <c r="AM241" s="178"/>
      <c r="AN241" s="178"/>
      <c r="AO241" s="178"/>
      <c r="AP241" s="178"/>
      <c r="AQ241" s="178"/>
      <c r="AR241" s="178"/>
      <c r="AS241" s="178"/>
    </row>
    <row r="242" spans="1:45" s="21" customFormat="1" ht="13.5" customHeight="1" x14ac:dyDescent="0.4">
      <c r="A242" s="27"/>
      <c r="B242" s="648"/>
      <c r="C242" s="648"/>
      <c r="D242" s="131"/>
      <c r="E242" s="132"/>
      <c r="F242" s="115"/>
      <c r="G242" s="115"/>
      <c r="H242" s="115"/>
      <c r="I242" s="115"/>
      <c r="J242" s="115"/>
      <c r="K242" s="115"/>
      <c r="L242" s="115"/>
      <c r="M242" s="115"/>
      <c r="N242" s="115"/>
      <c r="O242" s="115"/>
      <c r="P242" s="115"/>
      <c r="Q242" s="115"/>
      <c r="R242" s="115"/>
      <c r="S242" s="115"/>
      <c r="T242" s="115"/>
      <c r="U242" s="115"/>
      <c r="V242" s="414"/>
      <c r="W242" s="120"/>
      <c r="X242" s="120"/>
      <c r="Y242" s="120"/>
      <c r="Z242" s="396"/>
      <c r="AA242" s="396"/>
      <c r="AB242" s="396"/>
      <c r="AC242" s="398"/>
      <c r="AD242" s="178"/>
      <c r="AE242" s="178"/>
      <c r="AF242" s="178"/>
      <c r="AG242" s="178"/>
      <c r="AH242" s="178"/>
      <c r="AI242" s="178"/>
      <c r="AJ242" s="178"/>
      <c r="AK242" s="178"/>
      <c r="AL242" s="178"/>
      <c r="AM242" s="178"/>
      <c r="AN242" s="178"/>
      <c r="AO242" s="178"/>
      <c r="AP242" s="178"/>
      <c r="AQ242" s="178"/>
      <c r="AR242" s="178"/>
      <c r="AS242" s="178"/>
    </row>
    <row r="243" spans="1:45" s="28" customFormat="1" ht="82.5" customHeight="1" x14ac:dyDescent="0.4">
      <c r="A243" s="652"/>
      <c r="B243" s="652"/>
      <c r="C243" s="652"/>
      <c r="E243" s="663" t="s">
        <v>13</v>
      </c>
      <c r="F243" s="97"/>
      <c r="G243" s="97"/>
      <c r="H243" s="97"/>
      <c r="I243" s="97"/>
      <c r="J243" s="97"/>
      <c r="K243" s="97"/>
      <c r="L243" s="97"/>
      <c r="M243" s="97"/>
      <c r="N243" s="97"/>
      <c r="O243" s="97"/>
      <c r="P243" s="97"/>
      <c r="Q243" s="97"/>
      <c r="R243" s="97"/>
      <c r="S243" s="97"/>
      <c r="T243" s="97"/>
      <c r="U243" s="97"/>
      <c r="V243" s="417"/>
      <c r="Y243" s="28" t="s">
        <v>155</v>
      </c>
      <c r="Z243" s="97"/>
      <c r="AA243" s="97"/>
      <c r="AB243" s="97"/>
      <c r="AC243" s="97"/>
      <c r="AD243" s="97"/>
      <c r="AE243" s="97"/>
      <c r="AF243" s="97"/>
      <c r="AG243" s="97"/>
      <c r="AH243" s="97"/>
      <c r="AI243" s="97"/>
      <c r="AJ243" s="97"/>
      <c r="AK243" s="97"/>
      <c r="AL243" s="97"/>
      <c r="AM243" s="97"/>
      <c r="AN243" s="97"/>
      <c r="AO243" s="97"/>
      <c r="AP243" s="97"/>
      <c r="AQ243" s="97"/>
      <c r="AR243" s="97"/>
      <c r="AS243" s="97"/>
    </row>
    <row r="244" spans="1:45" s="21" customFormat="1" x14ac:dyDescent="0.4">
      <c r="A244" s="57"/>
      <c r="B244" s="57"/>
      <c r="C244" s="57"/>
      <c r="D244" s="131" t="s">
        <v>44</v>
      </c>
      <c r="F244" s="178"/>
      <c r="G244" s="178"/>
      <c r="H244" s="127"/>
      <c r="I244" s="178"/>
      <c r="J244" s="178"/>
      <c r="K244" s="178"/>
      <c r="L244" s="178"/>
      <c r="M244" s="178"/>
      <c r="N244" s="178"/>
      <c r="O244" s="178"/>
      <c r="P244" s="178"/>
      <c r="Q244" s="178"/>
      <c r="R244" s="178"/>
      <c r="S244" s="178"/>
      <c r="T244" s="178"/>
      <c r="U244" s="178"/>
      <c r="V244" s="410"/>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row>
    <row r="245" spans="1:45" ht="48" customHeight="1" x14ac:dyDescent="0.4">
      <c r="A245" s="57"/>
      <c r="B245" s="57"/>
      <c r="C245" s="57"/>
      <c r="D245" s="123"/>
      <c r="E245" s="1409" t="str">
        <f>"STAÐAN ÁRIÐ "&amp;$A$1</f>
        <v>STAÐAN ÁRIÐ 2025</v>
      </c>
      <c r="F245" s="521"/>
      <c r="G245" s="457"/>
      <c r="H245" s="457"/>
      <c r="I245" s="457"/>
      <c r="J245" s="457"/>
      <c r="K245" s="457"/>
      <c r="L245" s="457"/>
      <c r="M245" s="457"/>
      <c r="O245" s="1409" t="str">
        <f>$O$5</f>
        <v>FRAMTÍÐARHORFUR</v>
      </c>
      <c r="P245" s="1411" t="str">
        <f>$P$5</f>
        <v>Áætluð breyting í losun út frá
sviðsmynd byggð á aðgerðum stjórvalda</v>
      </c>
      <c r="Q245" s="1412"/>
      <c r="R245" s="1412"/>
      <c r="S245" s="1412"/>
      <c r="T245" s="5"/>
      <c r="U245" s="5"/>
      <c r="V245" s="162"/>
      <c r="Y245" s="1409" t="str">
        <f>$Y$5</f>
        <v>2025 EMISSIONS</v>
      </c>
      <c r="Z245" s="455"/>
      <c r="AA245" s="456"/>
      <c r="AB245" s="456"/>
      <c r="AC245" s="456"/>
      <c r="AD245" s="456"/>
      <c r="AE245" s="456"/>
      <c r="AF245" s="457"/>
      <c r="AG245" s="456"/>
      <c r="AH245" s="115"/>
      <c r="AI245" s="1409" t="str">
        <f>$AI$5</f>
        <v>OUTLOOKS</v>
      </c>
      <c r="AJ245" s="1411" t="str">
        <f>$AJ$5</f>
        <v>Estimated change in emissions based on
government policy-based scenario</v>
      </c>
      <c r="AK245" s="1412"/>
      <c r="AL245" s="1412"/>
      <c r="AM245" s="1413"/>
      <c r="AN245" s="5"/>
      <c r="AO245" s="5"/>
      <c r="AP245" s="5"/>
      <c r="AQ245" s="5"/>
      <c r="AR245" s="5"/>
      <c r="AS245" s="5"/>
    </row>
    <row r="246" spans="1:45" s="21" customFormat="1" ht="17.399999999999999" customHeight="1" x14ac:dyDescent="0.4">
      <c r="A246" s="57"/>
      <c r="B246" s="57"/>
      <c r="C246" s="57"/>
      <c r="D246" s="131" t="s">
        <v>44</v>
      </c>
      <c r="E246" s="1409"/>
      <c r="F246" s="1405" t="str">
        <f>"Losun "&amp;$A$1</f>
        <v>Losun 2025</v>
      </c>
      <c r="G246" s="1406"/>
      <c r="H246" s="1407" t="str">
        <f>"Breyting frá "&amp;$B$3</f>
        <v>Breyting frá 2024</v>
      </c>
      <c r="I246" s="1406"/>
      <c r="J246" s="1407" t="str">
        <f>"Breyting frá "&amp;$B$2</f>
        <v>Breyting frá 2005</v>
      </c>
      <c r="K246" s="1406"/>
      <c r="L246" s="1407" t="str">
        <f>"Breyting frá "&amp;$B$1</f>
        <v>Breyting frá 1990</v>
      </c>
      <c r="M246" s="1408"/>
      <c r="N246" s="127"/>
      <c r="O246" s="1409"/>
      <c r="P246" s="1407" t="s">
        <v>342</v>
      </c>
      <c r="Q246" s="1406"/>
      <c r="R246" s="1407" t="s">
        <v>343</v>
      </c>
      <c r="S246" s="1406"/>
      <c r="V246" s="410"/>
      <c r="Y246" s="1409"/>
      <c r="Z246" s="1405" t="str">
        <f>$Z$6</f>
        <v>Emissions in 2025</v>
      </c>
      <c r="AA246" s="1406"/>
      <c r="AB246" s="1407" t="str">
        <f>$AB$6</f>
        <v>Change from 2024</v>
      </c>
      <c r="AC246" s="1406"/>
      <c r="AD246" s="1407" t="str">
        <f>$AD$6</f>
        <v>Change from 2005</v>
      </c>
      <c r="AE246" s="1406"/>
      <c r="AF246" s="1407" t="str">
        <f>$AF$6</f>
        <v>Change from 1990</v>
      </c>
      <c r="AG246" s="1408"/>
      <c r="AH246" s="115"/>
      <c r="AI246" s="1409"/>
      <c r="AJ246" s="1405" t="str">
        <f>$AJ$6</f>
        <v>2030 compared to 2005</v>
      </c>
      <c r="AK246" s="1406"/>
      <c r="AL246" s="1407" t="str">
        <f>$AL$6</f>
        <v>2055 compared to 1990</v>
      </c>
      <c r="AM246" s="1406"/>
    </row>
    <row r="247" spans="1:45" ht="17.399999999999999" customHeight="1" thickBot="1" x14ac:dyDescent="0.45">
      <c r="A247" s="57"/>
      <c r="D247" s="123" t="s">
        <v>44</v>
      </c>
      <c r="E247" s="1410"/>
      <c r="F247" s="435" t="s">
        <v>348</v>
      </c>
      <c r="G247" s="436" t="s">
        <v>4</v>
      </c>
      <c r="H247" s="435" t="str">
        <f>$F$7</f>
        <v>Þús. tonn CO₂-íg.</v>
      </c>
      <c r="I247" s="436" t="s">
        <v>4</v>
      </c>
      <c r="J247" s="435" t="str">
        <f>$F$7</f>
        <v>Þús. tonn CO₂-íg.</v>
      </c>
      <c r="K247" s="436" t="s">
        <v>4</v>
      </c>
      <c r="L247" s="435" t="str">
        <f>$F$7</f>
        <v>Þús. tonn CO₂-íg.</v>
      </c>
      <c r="M247" s="435" t="s">
        <v>4</v>
      </c>
      <c r="O247" s="1410"/>
      <c r="P247" s="435" t="str">
        <f>$F$7</f>
        <v>Þús. tonn CO₂-íg.</v>
      </c>
      <c r="Q247" s="436" t="s">
        <v>4</v>
      </c>
      <c r="R247" s="435" t="str">
        <f>$F$7</f>
        <v>Þús. tonn CO₂-íg.</v>
      </c>
      <c r="S247" s="435" t="s">
        <v>4</v>
      </c>
      <c r="T247" s="5"/>
      <c r="U247" s="5"/>
      <c r="V247" s="162"/>
      <c r="Y247" s="1410"/>
      <c r="Z247" s="435" t="str">
        <f>$Z$7</f>
        <v>Thousand tons CO₂e</v>
      </c>
      <c r="AA247" s="436" t="s">
        <v>4</v>
      </c>
      <c r="AB247" s="435" t="str">
        <f>$Z$7</f>
        <v>Thousand tons CO₂e</v>
      </c>
      <c r="AC247" s="436" t="s">
        <v>4</v>
      </c>
      <c r="AD247" s="435" t="str">
        <f>$F$7</f>
        <v>Þús. tonn CO₂-íg.</v>
      </c>
      <c r="AE247" s="436" t="s">
        <v>4</v>
      </c>
      <c r="AF247" s="435" t="str">
        <f>$Z$7</f>
        <v>Thousand tons CO₂e</v>
      </c>
      <c r="AG247" s="435" t="s">
        <v>4</v>
      </c>
      <c r="AH247" s="115"/>
      <c r="AI247" s="1410"/>
      <c r="AJ247" s="435" t="str">
        <f>$Z$7</f>
        <v>Thousand tons CO₂e</v>
      </c>
      <c r="AK247" s="436" t="s">
        <v>4</v>
      </c>
      <c r="AL247" s="435" t="str">
        <f>$Z$7</f>
        <v>Thousand tons CO₂e</v>
      </c>
      <c r="AM247" s="435" t="s">
        <v>4</v>
      </c>
      <c r="AN247" s="5"/>
      <c r="AO247" s="5"/>
      <c r="AP247" s="5"/>
      <c r="AQ247" s="5"/>
      <c r="AR247" s="5"/>
      <c r="AS247" s="5"/>
    </row>
    <row r="248" spans="1:45" s="21" customFormat="1" ht="21" customHeight="1" thickTop="1" x14ac:dyDescent="0.4">
      <c r="A248" s="27" t="s">
        <v>47</v>
      </c>
      <c r="B248" s="645" t="s">
        <v>236</v>
      </c>
      <c r="C248" s="645" t="s">
        <v>242</v>
      </c>
      <c r="D248" s="131" t="s">
        <v>44</v>
      </c>
      <c r="E248" s="439" t="str">
        <f>'Talnagögn | Numerical Data'!$E$55</f>
        <v>Vegasamgöngur</v>
      </c>
      <c r="F248" s="522" cm="1">
        <f t="array" ref="F248">INDEX('Talnagögn | Numerical Data'!$1:$1048576, _xlfn.XMATCH($A248,'Talnagögn | Numerical Data'!$B:$B), _xlfn.XMATCH($A$1,'Talnagögn | Numerical Data'!$1:$1))</f>
        <v>917.25938476071508</v>
      </c>
      <c r="G248" s="445">
        <f t="shared" ref="G248:G256" si="2">F248/$F$256</f>
        <v>0.50844089747945276</v>
      </c>
      <c r="H248" s="522" cm="1">
        <f t="array" ref="H248">INDEX('Talnagögn | Numerical Data'!$1:$1048576, _xlfn.XMATCH($A248,'Talnagögn | Numerical Data'!$B:$B), _xlfn.XMATCH($A$1,'Talnagögn | Numerical Data'!$1:$1))-INDEX('Talnagögn | Numerical Data'!$1:$1048576, _xlfn.XMATCH($A248,'Talnagögn | Numerical Data'!$B:$B), _xlfn.XMATCH($B$3,'Talnagögn | Numerical Data'!$1:$1))</f>
        <v>11.751960279153423</v>
      </c>
      <c r="I248" s="451" cm="1">
        <f t="array" ref="I248">INDEX('Talnagögn | Numerical Data'!$1:$1048576, _xlfn.XMATCH($A248,'Talnagögn | Numerical Data'!$B:$B), _xlfn.XMATCH($A$1,'Talnagögn | Numerical Data'!$1:$1))/INDEX('Talnagögn | Numerical Data'!$1:$1048576, _xlfn.XMATCH($A248,'Talnagögn | Numerical Data'!$B:$B), _xlfn.XMATCH($B$3,'Talnagögn | Numerical Data'!$1:$1))-1</f>
        <v>1.2978314656980183E-2</v>
      </c>
      <c r="J248" s="522" cm="1">
        <f t="array" ref="J248">INDEX('Talnagögn | Numerical Data'!$1:$1048576, _xlfn.XMATCH($A248,'Talnagögn | Numerical Data'!$B:$B), _xlfn.XMATCH($A$1,'Talnagögn | Numerical Data'!$1:$1))-INDEX('Talnagögn | Numerical Data'!$1:$1048576, _xlfn.XMATCH($A248,'Talnagögn | Numerical Data'!$B:$B), _xlfn.XMATCH($B$2,'Talnagögn | Numerical Data'!$1:$1))</f>
        <v>144.2921835985353</v>
      </c>
      <c r="K248" s="445" cm="1">
        <f t="array" ref="K248">INDEX('Talnagögn | Numerical Data'!$1:$1048576, _xlfn.XMATCH($A248,'Talnagögn | Numerical Data'!$B:$B), _xlfn.XMATCH($A$1,'Talnagögn | Numerical Data'!$1:$1))/INDEX('Talnagögn | Numerical Data'!$1:$1048576, _xlfn.XMATCH($A248,'Talnagögn | Numerical Data'!$B:$B), _xlfn.XMATCH($B$2,'Talnagögn | Numerical Data'!$1:$1))-1</f>
        <v>0.18667309994730386</v>
      </c>
      <c r="L248" s="522" cm="1">
        <f t="array" ref="L248">INDEX('Talnagögn | Numerical Data'!$1:$1048576, _xlfn.XMATCH($A248,'Talnagögn | Numerical Data'!$B:$B), _xlfn.XMATCH($A$1,'Talnagögn | Numerical Data'!$1:$1))-INDEX('Talnagögn | Numerical Data'!$1:$1048576, _xlfn.XMATCH($A248,'Talnagögn | Numerical Data'!$B:$B), _xlfn.XMATCH($B$1,'Talnagögn | Numerical Data'!$1:$1))</f>
        <v>386.03803188269649</v>
      </c>
      <c r="M248" s="437" cm="1">
        <f t="array" ref="M248">INDEX('Talnagögn | Numerical Data'!$1:$1048576, _xlfn.XMATCH($A248,'Talnagögn | Numerical Data'!$B:$B), _xlfn.XMATCH($A$1,'Talnagögn | Numerical Data'!$1:$1))/INDEX('Talnagögn | Numerical Data'!$1:$1048576, _xlfn.XMATCH($A248,'Talnagögn | Numerical Data'!$B:$B), _xlfn.XMATCH($B$1,'Talnagögn | Numerical Data'!$1:$1))-1</f>
        <v>0.72669901123372238</v>
      </c>
      <c r="N248" s="178"/>
      <c r="O248" s="439" t="str">
        <f>'Talnagögn | Numerical Data'!$E$55</f>
        <v>Vegasamgöngur</v>
      </c>
      <c r="P248" s="522" cm="1">
        <f t="array" ref="P248">INDEX('Talnagögn | Numerical Data'!$1:$1048576,_xlfn.XMATCH($B248,'Talnagögn | Numerical Data'!$C:$C),_xlfn.XMATCH($B$4,'Talnagögn | Numerical Data'!$1:$1))-INDEX('Talnagögn | Numerical Data'!$1:$1048576,_xlfn.XMATCH($A248,'Talnagögn | Numerical Data'!$B:$B),_xlfn.XMATCH($B$2,'Talnagögn | Numerical Data'!$1:$1))</f>
        <v>13.257501189084564</v>
      </c>
      <c r="Q248" s="451" cm="1">
        <f t="array" ref="Q248">INDEX('Talnagögn | Numerical Data'!$1:$1048576,_xlfn.XMATCH($B248,'Talnagögn | Numerical Data'!$C:$C),_xlfn.XMATCH($B$4,'Talnagögn | Numerical Data'!$1:$1))/INDEX('Talnagögn | Numerical Data'!$1:$1048576,_xlfn.XMATCH($A248,'Talnagögn | Numerical Data'!$B:$B),_xlfn.XMATCH($B$2,'Talnagögn | Numerical Data'!$1:$1))-1</f>
        <v>1.7151440797425144E-2</v>
      </c>
      <c r="R248" s="522" cm="1">
        <f t="array" ref="R248">INDEX('Talnagögn | Numerical Data'!$1:$1048576,_xlfn.XMATCH($B248,'Talnagögn | Numerical Data'!$C:$C),_xlfn.XMATCH($B$5,'Talnagögn | Numerical Data'!$1:$1))-INDEX('Talnagögn | Numerical Data'!$1:$1048576,_xlfn.XMATCH($A248,'Talnagögn | Numerical Data'!$B:$B),_xlfn.XMATCH($B$1,'Talnagögn | Numerical Data'!$1:$1))</f>
        <v>-501.25044716842979</v>
      </c>
      <c r="S248" s="683" cm="1">
        <f t="array" ref="S248">INDEX('Talnagögn | Numerical Data'!$1:$1048576,_xlfn.XMATCH($B248,'Talnagögn | Numerical Data'!$C:$C),_xlfn.XMATCH($B$5,'Talnagögn | Numerical Data'!$1:$1))/INDEX('Talnagögn | Numerical Data'!$1:$1048576,_xlfn.XMATCH($A248,'Talnagögn | Numerical Data'!$B:$B),_xlfn.XMATCH($B$1,'Talnagögn | Numerical Data'!$1:$1))-1</f>
        <v>-0.9435811351572857</v>
      </c>
      <c r="V248" s="408"/>
      <c r="X248" s="122"/>
      <c r="Y248" s="439" t="str">
        <f>'Talnagögn | Numerical Data'!$G$55</f>
        <v>Road Transport</v>
      </c>
      <c r="Z248" s="522" cm="1">
        <f t="array" ref="Z248">INDEX('Talnagögn | Numerical Data'!$1:$1048576, _xlfn.XMATCH($A248,'Talnagögn | Numerical Data'!$B:$B), _xlfn.XMATCH($A$1,'Talnagögn | Numerical Data'!$1:$1))</f>
        <v>917.25938476071508</v>
      </c>
      <c r="AA248" s="445">
        <f t="shared" ref="AA248:AA256" si="3">Z248/$F$256</f>
        <v>0.50844089747945276</v>
      </c>
      <c r="AB248" s="522" cm="1">
        <f t="array" ref="AB248">INDEX('Talnagögn | Numerical Data'!$1:$1048576, _xlfn.XMATCH($A248,'Talnagögn | Numerical Data'!$B:$B), _xlfn.XMATCH($A$1,'Talnagögn | Numerical Data'!$1:$1))-INDEX('Talnagögn | Numerical Data'!$1:$1048576, _xlfn.XMATCH($A248,'Talnagögn | Numerical Data'!$B:$B), _xlfn.XMATCH($B$3,'Talnagögn | Numerical Data'!$1:$1))</f>
        <v>11.751960279153423</v>
      </c>
      <c r="AC248" s="451" cm="1">
        <f t="array" ref="AC248">INDEX('Talnagögn | Numerical Data'!$1:$1048576, _xlfn.XMATCH($A248,'Talnagögn | Numerical Data'!$B:$B), _xlfn.XMATCH($A$1,'Talnagögn | Numerical Data'!$1:$1))/INDEX('Talnagögn | Numerical Data'!$1:$1048576, _xlfn.XMATCH($A248,'Talnagögn | Numerical Data'!$B:$B), _xlfn.XMATCH($B$3,'Talnagögn | Numerical Data'!$1:$1))-1</f>
        <v>1.2978314656980183E-2</v>
      </c>
      <c r="AD248" s="522" cm="1">
        <f t="array" ref="AD248">INDEX('Talnagögn | Numerical Data'!$1:$1048576, _xlfn.XMATCH($A248,'Talnagögn | Numerical Data'!$B:$B), _xlfn.XMATCH($A$1,'Talnagögn | Numerical Data'!$1:$1))-INDEX('Talnagögn | Numerical Data'!$1:$1048576, _xlfn.XMATCH($A248,'Talnagögn | Numerical Data'!$B:$B), _xlfn.XMATCH($B$2,'Talnagögn | Numerical Data'!$1:$1))</f>
        <v>144.2921835985353</v>
      </c>
      <c r="AE248" s="445" cm="1">
        <f t="array" ref="AE248">INDEX('Talnagögn | Numerical Data'!$1:$1048576, _xlfn.XMATCH($A248,'Talnagögn | Numerical Data'!$B:$B), _xlfn.XMATCH($A$1,'Talnagögn | Numerical Data'!$1:$1))/INDEX('Talnagögn | Numerical Data'!$1:$1048576, _xlfn.XMATCH($A248,'Talnagögn | Numerical Data'!$B:$B), _xlfn.XMATCH($B$2,'Talnagögn | Numerical Data'!$1:$1))-1</f>
        <v>0.18667309994730386</v>
      </c>
      <c r="AF248" s="522" cm="1">
        <f t="array" ref="AF248">INDEX('Talnagögn | Numerical Data'!$1:$1048576, _xlfn.XMATCH($A248,'Talnagögn | Numerical Data'!$B:$B), _xlfn.XMATCH($A$1,'Talnagögn | Numerical Data'!$1:$1))-INDEX('Talnagögn | Numerical Data'!$1:$1048576, _xlfn.XMATCH($A248,'Talnagögn | Numerical Data'!$B:$B), _xlfn.XMATCH($B$1,'Talnagögn | Numerical Data'!$1:$1))</f>
        <v>386.03803188269649</v>
      </c>
      <c r="AG248" s="437" cm="1">
        <f t="array" ref="AG248">INDEX('Talnagögn | Numerical Data'!$1:$1048576, _xlfn.XMATCH($A248,'Talnagögn | Numerical Data'!$B:$B), _xlfn.XMATCH($A$1,'Talnagögn | Numerical Data'!$1:$1))/INDEX('Talnagögn | Numerical Data'!$1:$1048576, _xlfn.XMATCH($A248,'Talnagögn | Numerical Data'!$B:$B), _xlfn.XMATCH($B$1,'Talnagögn | Numerical Data'!$1:$1))-1</f>
        <v>0.72669901123372238</v>
      </c>
      <c r="AH248" s="178"/>
      <c r="AI248" s="439" t="str">
        <f>'Talnagögn | Numerical Data'!$G$55</f>
        <v>Road Transport</v>
      </c>
      <c r="AJ248" s="522" cm="1">
        <f t="array" ref="AJ248">INDEX('Talnagögn | Numerical Data'!$1:$1048576,_xlfn.XMATCH($B248,'Talnagögn | Numerical Data'!$C:$C),_xlfn.XMATCH($B$4,'Talnagögn | Numerical Data'!$1:$1))-INDEX('Talnagögn | Numerical Data'!$1:$1048576,_xlfn.XMATCH($A248,'Talnagögn | Numerical Data'!$B:$B),_xlfn.XMATCH($B$2,'Talnagögn | Numerical Data'!$1:$1))</f>
        <v>13.257501189084564</v>
      </c>
      <c r="AK248" s="451" cm="1">
        <f t="array" ref="AK248">INDEX('Talnagögn | Numerical Data'!$1:$1048576,_xlfn.XMATCH($B248,'Talnagögn | Numerical Data'!$C:$C),_xlfn.XMATCH($B$4,'Talnagögn | Numerical Data'!$1:$1))/INDEX('Talnagögn | Numerical Data'!$1:$1048576,_xlfn.XMATCH($A248,'Talnagögn | Numerical Data'!$B:$B),_xlfn.XMATCH($B$2,'Talnagögn | Numerical Data'!$1:$1))-1</f>
        <v>1.7151440797425144E-2</v>
      </c>
      <c r="AL248" s="522" cm="1">
        <f t="array" ref="AL248">INDEX('Talnagögn | Numerical Data'!$1:$1048576,_xlfn.XMATCH($B248,'Talnagögn | Numerical Data'!$C:$C),_xlfn.XMATCH($B$5,'Talnagögn | Numerical Data'!$1:$1))-INDEX('Talnagögn | Numerical Data'!$1:$1048576,_xlfn.XMATCH($A248,'Talnagögn | Numerical Data'!$B:$B),_xlfn.XMATCH($B$1,'Talnagögn | Numerical Data'!$1:$1))</f>
        <v>-501.25044716842979</v>
      </c>
      <c r="AM248" s="683" cm="1">
        <f t="array" ref="AM248">INDEX('Talnagögn | Numerical Data'!$1:$1048576,_xlfn.XMATCH($B248,'Talnagögn | Numerical Data'!$C:$C),_xlfn.XMATCH($B$5,'Talnagögn | Numerical Data'!$1:$1))/INDEX('Talnagögn | Numerical Data'!$1:$1048576,_xlfn.XMATCH($A248,'Talnagögn | Numerical Data'!$B:$B),_xlfn.XMATCH($B$1,'Talnagögn | Numerical Data'!$1:$1))-1</f>
        <v>-0.9435811351572857</v>
      </c>
    </row>
    <row r="249" spans="1:45" s="21" customFormat="1" ht="21" customHeight="1" x14ac:dyDescent="0.4">
      <c r="A249" s="27" t="s">
        <v>46</v>
      </c>
      <c r="B249" s="645" t="s">
        <v>235</v>
      </c>
      <c r="C249" s="645" t="s">
        <v>241</v>
      </c>
      <c r="D249" s="131" t="s">
        <v>44</v>
      </c>
      <c r="E249" s="440" t="str">
        <f>'Talnagögn | Numerical Data'!$E$54</f>
        <v>Fiskiskip</v>
      </c>
      <c r="F249" s="524" cm="1">
        <f t="array" ref="F249">INDEX('Talnagögn | Numerical Data'!$1:$1048576, _xlfn.XMATCH($A249,'Talnagögn | Numerical Data'!$B:$B), _xlfn.XMATCH($A$1,'Talnagögn | Numerical Data'!$1:$1))</f>
        <v>482.07188977314064</v>
      </c>
      <c r="G249" s="447">
        <f t="shared" si="2"/>
        <v>0.26721456150575323</v>
      </c>
      <c r="H249" s="522" cm="1">
        <f t="array" ref="H249">INDEX('Talnagögn | Numerical Data'!$1:$1048576, _xlfn.XMATCH($A249,'Talnagögn | Numerical Data'!$B:$B), _xlfn.XMATCH($A$1,'Talnagögn | Numerical Data'!$1:$1))-INDEX('Talnagögn | Numerical Data'!$1:$1048576, _xlfn.XMATCH($A249,'Talnagögn | Numerical Data'!$B:$B), _xlfn.XMATCH($B$3,'Talnagögn | Numerical Data'!$1:$1))</f>
        <v>-37.946921513065092</v>
      </c>
      <c r="I249" s="446" cm="1">
        <f t="array" ref="I249">INDEX('Talnagögn | Numerical Data'!$1:$1048576, _xlfn.XMATCH($A249,'Talnagögn | Numerical Data'!$B:$B), _xlfn.XMATCH($A$1,'Talnagögn | Numerical Data'!$1:$1))/INDEX('Talnagögn | Numerical Data'!$1:$1048576, _xlfn.XMATCH($A249,'Talnagögn | Numerical Data'!$B:$B), _xlfn.XMATCH($B$3,'Talnagögn | Numerical Data'!$1:$1))-1</f>
        <v>-7.2972209253753362E-2</v>
      </c>
      <c r="J249" s="524" cm="1">
        <f t="array" ref="J249">INDEX('Talnagögn | Numerical Data'!$1:$1048576, _xlfn.XMATCH($A249,'Talnagögn | Numerical Data'!$B:$B), _xlfn.XMATCH($A$1,'Talnagögn | Numerical Data'!$1:$1))-INDEX('Talnagögn | Numerical Data'!$1:$1048576, _xlfn.XMATCH($A249,'Talnagögn | Numerical Data'!$B:$B), _xlfn.XMATCH($B$2,'Talnagögn | Numerical Data'!$1:$1))</f>
        <v>-260.20390718443872</v>
      </c>
      <c r="K249" s="447" cm="1">
        <f t="array" ref="K249">INDEX('Talnagögn | Numerical Data'!$1:$1048576, _xlfn.XMATCH($A249,'Talnagögn | Numerical Data'!$B:$B), _xlfn.XMATCH($A$1,'Talnagögn | Numerical Data'!$1:$1))/INDEX('Talnagögn | Numerical Data'!$1:$1048576, _xlfn.XMATCH($A249,'Talnagögn | Numerical Data'!$B:$B), _xlfn.XMATCH($B$2,'Talnagögn | Numerical Data'!$1:$1))-1</f>
        <v>-0.35054882329580961</v>
      </c>
      <c r="L249" s="524" cm="1">
        <f t="array" ref="L249">INDEX('Talnagögn | Numerical Data'!$1:$1048576, _xlfn.XMATCH($A249,'Talnagögn | Numerical Data'!$B:$B), _xlfn.XMATCH($A$1,'Talnagögn | Numerical Data'!$1:$1))-INDEX('Talnagögn | Numerical Data'!$1:$1048576, _xlfn.XMATCH($A249,'Talnagögn | Numerical Data'!$B:$B), _xlfn.XMATCH($B$1,'Talnagögn | Numerical Data'!$1:$1))</f>
        <v>-278.3655473838374</v>
      </c>
      <c r="M249" s="437" cm="1">
        <f t="array" ref="M249">INDEX('Talnagögn | Numerical Data'!$1:$1048576, _xlfn.XMATCH($A249,'Talnagögn | Numerical Data'!$B:$B), _xlfn.XMATCH($A$1,'Talnagögn | Numerical Data'!$1:$1))/INDEX('Talnagögn | Numerical Data'!$1:$1048576, _xlfn.XMATCH($A249,'Talnagögn | Numerical Data'!$B:$B), _xlfn.XMATCH($B$1,'Talnagögn | Numerical Data'!$1:$1))-1</f>
        <v>-0.36605976216078118</v>
      </c>
      <c r="N249" s="178"/>
      <c r="O249" s="440" t="str">
        <f>'Talnagögn | Numerical Data'!$E$54</f>
        <v>Fiskiskip</v>
      </c>
      <c r="P249" s="522" cm="1">
        <f t="array" ref="P249">INDEX('Talnagögn | Numerical Data'!$1:$1048576,_xlfn.XMATCH($B249,'Talnagögn | Numerical Data'!$C:$C),_xlfn.XMATCH($B$4,'Talnagögn | Numerical Data'!$1:$1))-INDEX('Talnagögn | Numerical Data'!$1:$1048576,_xlfn.XMATCH($A249,'Talnagögn | Numerical Data'!$B:$B),_xlfn.XMATCH($B$2,'Talnagögn | Numerical Data'!$1:$1))</f>
        <v>-285.80893779216456</v>
      </c>
      <c r="Q249" s="447" cm="1">
        <f t="array" ref="Q249">INDEX('Talnagögn | Numerical Data'!$1:$1048576,_xlfn.XMATCH($B249,'Talnagögn | Numerical Data'!$C:$C),_xlfn.XMATCH($B$4,'Talnagögn | Numerical Data'!$1:$1))/INDEX('Talnagögn | Numerical Data'!$1:$1048576,_xlfn.XMATCH($A249,'Talnagögn | Numerical Data'!$B:$B),_xlfn.XMATCH($B$2,'Talnagögn | Numerical Data'!$1:$1))-1</f>
        <v>-0.38504412910084196</v>
      </c>
      <c r="R249" s="522" cm="1">
        <f t="array" ref="R249">INDEX('Talnagögn | Numerical Data'!$1:$1048576,_xlfn.XMATCH($B249,'Talnagögn | Numerical Data'!$C:$C),_xlfn.XMATCH($B$5,'Talnagögn | Numerical Data'!$1:$1))-INDEX('Talnagögn | Numerical Data'!$1:$1048576,_xlfn.XMATCH($A249,'Talnagögn | Numerical Data'!$B:$B),_xlfn.XMATCH($B$1,'Talnagögn | Numerical Data'!$1:$1))</f>
        <v>-584.66150953508441</v>
      </c>
      <c r="S249" s="437" cm="1">
        <f t="array" ref="S249">INDEX('Talnagögn | Numerical Data'!$1:$1048576,_xlfn.XMATCH($B249,'Talnagögn | Numerical Data'!$C:$C),_xlfn.XMATCH($B$5,'Talnagögn | Numerical Data'!$1:$1))/INDEX('Talnagögn | Numerical Data'!$1:$1048576,_xlfn.XMATCH($A249,'Talnagögn | Numerical Data'!$B:$B),_xlfn.XMATCH($B$1,'Talnagögn | Numerical Data'!$1:$1))-1</f>
        <v>-0.76884892953316286</v>
      </c>
      <c r="V249" s="408"/>
      <c r="X249" s="122"/>
      <c r="Y249" s="440" t="str">
        <f>'Talnagögn | Numerical Data'!$G$54</f>
        <v>Fishing</v>
      </c>
      <c r="Z249" s="524" cm="1">
        <f t="array" ref="Z249">INDEX('Talnagögn | Numerical Data'!$1:$1048576, _xlfn.XMATCH($A249,'Talnagögn | Numerical Data'!$B:$B), _xlfn.XMATCH($A$1,'Talnagögn | Numerical Data'!$1:$1))</f>
        <v>482.07188977314064</v>
      </c>
      <c r="AA249" s="447">
        <f t="shared" si="3"/>
        <v>0.26721456150575323</v>
      </c>
      <c r="AB249" s="522" cm="1">
        <f t="array" ref="AB249">INDEX('Talnagögn | Numerical Data'!$1:$1048576, _xlfn.XMATCH($A249,'Talnagögn | Numerical Data'!$B:$B), _xlfn.XMATCH($A$1,'Talnagögn | Numerical Data'!$1:$1))-INDEX('Talnagögn | Numerical Data'!$1:$1048576, _xlfn.XMATCH($A249,'Talnagögn | Numerical Data'!$B:$B), _xlfn.XMATCH($B$3,'Talnagögn | Numerical Data'!$1:$1))</f>
        <v>-37.946921513065092</v>
      </c>
      <c r="AC249" s="446" cm="1">
        <f t="array" ref="AC249">INDEX('Talnagögn | Numerical Data'!$1:$1048576, _xlfn.XMATCH($A249,'Talnagögn | Numerical Data'!$B:$B), _xlfn.XMATCH($A$1,'Talnagögn | Numerical Data'!$1:$1))/INDEX('Talnagögn | Numerical Data'!$1:$1048576, _xlfn.XMATCH($A249,'Talnagögn | Numerical Data'!$B:$B), _xlfn.XMATCH($B$3,'Talnagögn | Numerical Data'!$1:$1))-1</f>
        <v>-7.2972209253753362E-2</v>
      </c>
      <c r="AD249" s="524" cm="1">
        <f t="array" ref="AD249">INDEX('Talnagögn | Numerical Data'!$1:$1048576, _xlfn.XMATCH($A249,'Talnagögn | Numerical Data'!$B:$B), _xlfn.XMATCH($A$1,'Talnagögn | Numerical Data'!$1:$1))-INDEX('Talnagögn | Numerical Data'!$1:$1048576, _xlfn.XMATCH($A249,'Talnagögn | Numerical Data'!$B:$B), _xlfn.XMATCH($B$2,'Talnagögn | Numerical Data'!$1:$1))</f>
        <v>-260.20390718443872</v>
      </c>
      <c r="AE249" s="447" cm="1">
        <f t="array" ref="AE249">INDEX('Talnagögn | Numerical Data'!$1:$1048576, _xlfn.XMATCH($A249,'Talnagögn | Numerical Data'!$B:$B), _xlfn.XMATCH($A$1,'Talnagögn | Numerical Data'!$1:$1))/INDEX('Talnagögn | Numerical Data'!$1:$1048576, _xlfn.XMATCH($A249,'Talnagögn | Numerical Data'!$B:$B), _xlfn.XMATCH($B$2,'Talnagögn | Numerical Data'!$1:$1))-1</f>
        <v>-0.35054882329580961</v>
      </c>
      <c r="AF249" s="524" cm="1">
        <f t="array" ref="AF249">INDEX('Talnagögn | Numerical Data'!$1:$1048576, _xlfn.XMATCH($A249,'Talnagögn | Numerical Data'!$B:$B), _xlfn.XMATCH($A$1,'Talnagögn | Numerical Data'!$1:$1))-INDEX('Talnagögn | Numerical Data'!$1:$1048576, _xlfn.XMATCH($A249,'Talnagögn | Numerical Data'!$B:$B), _xlfn.XMATCH($B$1,'Talnagögn | Numerical Data'!$1:$1))</f>
        <v>-278.3655473838374</v>
      </c>
      <c r="AG249" s="437" cm="1">
        <f t="array" ref="AG249">INDEX('Talnagögn | Numerical Data'!$1:$1048576, _xlfn.XMATCH($A249,'Talnagögn | Numerical Data'!$B:$B), _xlfn.XMATCH($A$1,'Talnagögn | Numerical Data'!$1:$1))/INDEX('Talnagögn | Numerical Data'!$1:$1048576, _xlfn.XMATCH($A249,'Talnagögn | Numerical Data'!$B:$B), _xlfn.XMATCH($B$1,'Talnagögn | Numerical Data'!$1:$1))-1</f>
        <v>-0.36605976216078118</v>
      </c>
      <c r="AH249" s="178"/>
      <c r="AI249" s="440" t="str">
        <f>'Talnagögn | Numerical Data'!$G$54</f>
        <v>Fishing</v>
      </c>
      <c r="AJ249" s="522" cm="1">
        <f t="array" ref="AJ249">INDEX('Talnagögn | Numerical Data'!$1:$1048576,_xlfn.XMATCH($B249,'Talnagögn | Numerical Data'!$C:$C),_xlfn.XMATCH($B$4,'Talnagögn | Numerical Data'!$1:$1))-INDEX('Talnagögn | Numerical Data'!$1:$1048576,_xlfn.XMATCH($A249,'Talnagögn | Numerical Data'!$B:$B),_xlfn.XMATCH($B$2,'Talnagögn | Numerical Data'!$1:$1))</f>
        <v>-285.80893779216456</v>
      </c>
      <c r="AK249" s="447" cm="1">
        <f t="array" ref="AK249">INDEX('Talnagögn | Numerical Data'!$1:$1048576,_xlfn.XMATCH($B249,'Talnagögn | Numerical Data'!$C:$C),_xlfn.XMATCH($B$4,'Talnagögn | Numerical Data'!$1:$1))/INDEX('Talnagögn | Numerical Data'!$1:$1048576,_xlfn.XMATCH($A249,'Talnagögn | Numerical Data'!$B:$B),_xlfn.XMATCH($B$2,'Talnagögn | Numerical Data'!$1:$1))-1</f>
        <v>-0.38504412910084196</v>
      </c>
      <c r="AL249" s="522" cm="1">
        <f t="array" ref="AL249">INDEX('Talnagögn | Numerical Data'!$1:$1048576,_xlfn.XMATCH($B249,'Talnagögn | Numerical Data'!$C:$C),_xlfn.XMATCH($B$5,'Talnagögn | Numerical Data'!$1:$1))-INDEX('Talnagögn | Numerical Data'!$1:$1048576,_xlfn.XMATCH($A249,'Talnagögn | Numerical Data'!$B:$B),_xlfn.XMATCH($B$1,'Talnagögn | Numerical Data'!$1:$1))</f>
        <v>-584.66150953508441</v>
      </c>
      <c r="AM249" s="437" cm="1">
        <f t="array" ref="AM249">INDEX('Talnagögn | Numerical Data'!$1:$1048576,_xlfn.XMATCH($B249,'Talnagögn | Numerical Data'!$C:$C),_xlfn.XMATCH($B$5,'Talnagögn | Numerical Data'!$1:$1))/INDEX('Talnagögn | Numerical Data'!$1:$1048576,_xlfn.XMATCH($A249,'Talnagögn | Numerical Data'!$B:$B),_xlfn.XMATCH($B$1,'Talnagögn | Numerical Data'!$1:$1))-1</f>
        <v>-0.76884892953316286</v>
      </c>
    </row>
    <row r="250" spans="1:45" s="21" customFormat="1" ht="21" customHeight="1" x14ac:dyDescent="0.4">
      <c r="A250" s="130" t="s">
        <v>51</v>
      </c>
      <c r="B250" s="645" t="s">
        <v>237</v>
      </c>
      <c r="C250" s="645" t="s">
        <v>243</v>
      </c>
      <c r="D250" s="131" t="s">
        <v>44</v>
      </c>
      <c r="E250" s="441" t="str">
        <f>'Talnagögn | Numerical Data'!$E$65</f>
        <v>Jarðvarmavirkjanir</v>
      </c>
      <c r="F250" s="522" cm="1">
        <f t="array" ref="F250">INDEX('Talnagögn | Numerical Data'!$1:$1048576, _xlfn.XMATCH($A250,'Talnagögn | Numerical Data'!$B:$B), _xlfn.XMATCH($A$1,'Talnagögn | Numerical Data'!$1:$1))</f>
        <v>214.07609476451782</v>
      </c>
      <c r="G250" s="447">
        <f t="shared" si="2"/>
        <v>0.1186633176605352</v>
      </c>
      <c r="H250" s="523" cm="1">
        <f t="array" ref="H250">INDEX('Talnagögn | Numerical Data'!$1:$1048576, _xlfn.XMATCH($A250,'Talnagögn | Numerical Data'!$B:$B), _xlfn.XMATCH($A$1,'Talnagögn | Numerical Data'!$1:$1))-INDEX('Talnagögn | Numerical Data'!$1:$1048576, _xlfn.XMATCH($A250,'Talnagögn | Numerical Data'!$B:$B), _xlfn.XMATCH($B$3,'Talnagögn | Numerical Data'!$1:$1))</f>
        <v>-9.2201034253866965</v>
      </c>
      <c r="I250" s="446" cm="1">
        <f t="array" ref="I250">INDEX('Talnagögn | Numerical Data'!$1:$1048576, _xlfn.XMATCH($A250,'Talnagögn | Numerical Data'!$B:$B), _xlfn.XMATCH($A$1,'Talnagögn | Numerical Data'!$1:$1))/INDEX('Talnagögn | Numerical Data'!$1:$1048576, _xlfn.XMATCH($A250,'Talnagögn | Numerical Data'!$B:$B), _xlfn.XMATCH($B$3,'Talnagögn | Numerical Data'!$1:$1))-1</f>
        <v>-4.1290910907248679E-2</v>
      </c>
      <c r="J250" s="522" cm="1">
        <f t="array" ref="J250">INDEX('Talnagögn | Numerical Data'!$1:$1048576, _xlfn.XMATCH($A250,'Talnagögn | Numerical Data'!$B:$B), _xlfn.XMATCH($A$1,'Talnagögn | Numerical Data'!$1:$1))-INDEX('Talnagögn | Numerical Data'!$1:$1048576, _xlfn.XMATCH($A250,'Talnagögn | Numerical Data'!$B:$B), _xlfn.XMATCH($B$2,'Talnagögn | Numerical Data'!$1:$1))</f>
        <v>94.815623822436237</v>
      </c>
      <c r="K250" s="447" cm="1">
        <f t="array" ref="K250">INDEX('Talnagögn | Numerical Data'!$1:$1048576, _xlfn.XMATCH($A250,'Talnagögn | Numerical Data'!$B:$B), _xlfn.XMATCH($A$1,'Talnagögn | Numerical Data'!$1:$1))/INDEX('Talnagögn | Numerical Data'!$1:$1048576, _xlfn.XMATCH($A250,'Talnagögn | Numerical Data'!$B:$B), _xlfn.XMATCH($B$2,'Talnagögn | Numerical Data'!$1:$1))-1</f>
        <v>0.7950297619441995</v>
      </c>
      <c r="L250" s="522" cm="1">
        <f t="array" ref="L250">INDEX('Talnagögn | Numerical Data'!$1:$1048576, _xlfn.XMATCH($A250,'Talnagögn | Numerical Data'!$B:$B), _xlfn.XMATCH($A$1,'Talnagögn | Numerical Data'!$1:$1))-INDEX('Talnagögn | Numerical Data'!$1:$1048576, _xlfn.XMATCH($A250,'Talnagögn | Numerical Data'!$B:$B), _xlfn.XMATCH($B$1,'Talnagögn | Numerical Data'!$1:$1))</f>
        <v>153.01050512164028</v>
      </c>
      <c r="M250" s="437" cm="1">
        <f t="array" ref="M250">INDEX('Talnagögn | Numerical Data'!$1:$1048576, _xlfn.XMATCH($A250,'Talnagögn | Numerical Data'!$B:$B), _xlfn.XMATCH($A$1,'Talnagögn | Numerical Data'!$1:$1))/INDEX('Talnagögn | Numerical Data'!$1:$1048576, _xlfn.XMATCH($A250,'Talnagögn | Numerical Data'!$B:$B), _xlfn.XMATCH($B$1,'Talnagögn | Numerical Data'!$1:$1))-1</f>
        <v>2.5056747346005017</v>
      </c>
      <c r="N250" s="178"/>
      <c r="O250" s="441" t="str">
        <f>'Talnagögn | Numerical Data'!$E$65</f>
        <v>Jarðvarmavirkjanir</v>
      </c>
      <c r="P250" s="522" cm="1">
        <f t="array" ref="P250">INDEX('Talnagögn | Numerical Data'!$1:$1048576,_xlfn.XMATCH($B250,'Talnagögn | Numerical Data'!$C:$C),_xlfn.XMATCH($B$4,'Talnagögn | Numerical Data'!$1:$1))-INDEX('Talnagögn | Numerical Data'!$1:$1048576,_xlfn.XMATCH($A250,'Talnagögn | Numerical Data'!$B:$B),_xlfn.XMATCH($B$2,'Talnagögn | Numerical Data'!$1:$1))</f>
        <v>68.051200412255156</v>
      </c>
      <c r="Q250" s="447" cm="1">
        <f t="array" ref="Q250">INDEX('Talnagögn | Numerical Data'!$1:$1048576,_xlfn.XMATCH($B250,'Talnagögn | Numerical Data'!$C:$C),_xlfn.XMATCH($B$4,'Talnagögn | Numerical Data'!$1:$1))/INDEX('Talnagögn | Numerical Data'!$1:$1048576,_xlfn.XMATCH($A250,'Talnagögn | Numerical Data'!$B:$B),_xlfn.XMATCH($B$2,'Talnagögn | Numerical Data'!$1:$1))-1</f>
        <v>0.57060985819269461</v>
      </c>
      <c r="R250" s="522" cm="1">
        <f t="array" ref="R250">INDEX('Talnagögn | Numerical Data'!$1:$1048576,_xlfn.XMATCH($B250,'Talnagögn | Numerical Data'!$C:$C),_xlfn.XMATCH($B$5,'Talnagögn | Numerical Data'!$1:$1))-INDEX('Talnagögn | Numerical Data'!$1:$1048576,_xlfn.XMATCH($A250,'Talnagögn | Numerical Data'!$B:$B),_xlfn.XMATCH($B$1,'Talnagögn | Numerical Data'!$1:$1))</f>
        <v>124.27665335911526</v>
      </c>
      <c r="S250" s="437" cm="1">
        <f t="array" ref="S250">INDEX('Talnagögn | Numerical Data'!$1:$1048576,_xlfn.XMATCH($B250,'Talnagögn | Numerical Data'!$C:$C),_xlfn.XMATCH($B$5,'Talnagögn | Numerical Data'!$1:$1))/INDEX('Talnagögn | Numerical Data'!$1:$1048576,_xlfn.XMATCH($A250,'Talnagögn | Numerical Data'!$B:$B),_xlfn.XMATCH($B$1,'Talnagögn | Numerical Data'!$1:$1))-1</f>
        <v>2.035133928713492</v>
      </c>
      <c r="V250" s="408"/>
      <c r="X250" s="122"/>
      <c r="Y250" s="441" t="str">
        <f>'Talnagögn | Numerical Data'!$G$65</f>
        <v>Geothermal Energy</v>
      </c>
      <c r="Z250" s="522" cm="1">
        <f t="array" ref="Z250">INDEX('Talnagögn | Numerical Data'!$1:$1048576, _xlfn.XMATCH($A250,'Talnagögn | Numerical Data'!$B:$B), _xlfn.XMATCH($A$1,'Talnagögn | Numerical Data'!$1:$1))</f>
        <v>214.07609476451782</v>
      </c>
      <c r="AA250" s="447">
        <f t="shared" si="3"/>
        <v>0.1186633176605352</v>
      </c>
      <c r="AB250" s="523" cm="1">
        <f t="array" ref="AB250">INDEX('Talnagögn | Numerical Data'!$1:$1048576, _xlfn.XMATCH($A250,'Talnagögn | Numerical Data'!$B:$B), _xlfn.XMATCH($A$1,'Talnagögn | Numerical Data'!$1:$1))-INDEX('Talnagögn | Numerical Data'!$1:$1048576, _xlfn.XMATCH($A250,'Talnagögn | Numerical Data'!$B:$B), _xlfn.XMATCH($B$3,'Talnagögn | Numerical Data'!$1:$1))</f>
        <v>-9.2201034253866965</v>
      </c>
      <c r="AC250" s="446" cm="1">
        <f t="array" ref="AC250">INDEX('Talnagögn | Numerical Data'!$1:$1048576, _xlfn.XMATCH($A250,'Talnagögn | Numerical Data'!$B:$B), _xlfn.XMATCH($A$1,'Talnagögn | Numerical Data'!$1:$1))/INDEX('Talnagögn | Numerical Data'!$1:$1048576, _xlfn.XMATCH($A250,'Talnagögn | Numerical Data'!$B:$B), _xlfn.XMATCH($B$3,'Talnagögn | Numerical Data'!$1:$1))-1</f>
        <v>-4.1290910907248679E-2</v>
      </c>
      <c r="AD250" s="522" cm="1">
        <f t="array" ref="AD250">INDEX('Talnagögn | Numerical Data'!$1:$1048576, _xlfn.XMATCH($A250,'Talnagögn | Numerical Data'!$B:$B), _xlfn.XMATCH($A$1,'Talnagögn | Numerical Data'!$1:$1))-INDEX('Talnagögn | Numerical Data'!$1:$1048576, _xlfn.XMATCH($A250,'Talnagögn | Numerical Data'!$B:$B), _xlfn.XMATCH($B$2,'Talnagögn | Numerical Data'!$1:$1))</f>
        <v>94.815623822436237</v>
      </c>
      <c r="AE250" s="447" cm="1">
        <f t="array" ref="AE250">INDEX('Talnagögn | Numerical Data'!$1:$1048576, _xlfn.XMATCH($A250,'Talnagögn | Numerical Data'!$B:$B), _xlfn.XMATCH($A$1,'Talnagögn | Numerical Data'!$1:$1))/INDEX('Talnagögn | Numerical Data'!$1:$1048576, _xlfn.XMATCH($A250,'Talnagögn | Numerical Data'!$B:$B), _xlfn.XMATCH($B$2,'Talnagögn | Numerical Data'!$1:$1))-1</f>
        <v>0.7950297619441995</v>
      </c>
      <c r="AF250" s="522" cm="1">
        <f t="array" ref="AF250">INDEX('Talnagögn | Numerical Data'!$1:$1048576, _xlfn.XMATCH($A250,'Talnagögn | Numerical Data'!$B:$B), _xlfn.XMATCH($A$1,'Talnagögn | Numerical Data'!$1:$1))-INDEX('Talnagögn | Numerical Data'!$1:$1048576, _xlfn.XMATCH($A250,'Talnagögn | Numerical Data'!$B:$B), _xlfn.XMATCH($B$1,'Talnagögn | Numerical Data'!$1:$1))</f>
        <v>153.01050512164028</v>
      </c>
      <c r="AG250" s="437" cm="1">
        <f t="array" ref="AG250">INDEX('Talnagögn | Numerical Data'!$1:$1048576, _xlfn.XMATCH($A250,'Talnagögn | Numerical Data'!$B:$B), _xlfn.XMATCH($A$1,'Talnagögn | Numerical Data'!$1:$1))/INDEX('Talnagögn | Numerical Data'!$1:$1048576, _xlfn.XMATCH($A250,'Talnagögn | Numerical Data'!$B:$B), _xlfn.XMATCH($B$1,'Talnagögn | Numerical Data'!$1:$1))-1</f>
        <v>2.5056747346005017</v>
      </c>
      <c r="AH250" s="178"/>
      <c r="AI250" s="441" t="str">
        <f>'Talnagögn | Numerical Data'!$G$65</f>
        <v>Geothermal Energy</v>
      </c>
      <c r="AJ250" s="522" cm="1">
        <f t="array" ref="AJ250">INDEX('Talnagögn | Numerical Data'!$1:$1048576,_xlfn.XMATCH($B250,'Talnagögn | Numerical Data'!$C:$C),_xlfn.XMATCH($B$4,'Talnagögn | Numerical Data'!$1:$1))-INDEX('Talnagögn | Numerical Data'!$1:$1048576,_xlfn.XMATCH($A250,'Talnagögn | Numerical Data'!$B:$B),_xlfn.XMATCH($B$2,'Talnagögn | Numerical Data'!$1:$1))</f>
        <v>68.051200412255156</v>
      </c>
      <c r="AK250" s="447" cm="1">
        <f t="array" ref="AK250">INDEX('Talnagögn | Numerical Data'!$1:$1048576,_xlfn.XMATCH($B250,'Talnagögn | Numerical Data'!$C:$C),_xlfn.XMATCH($B$4,'Talnagögn | Numerical Data'!$1:$1))/INDEX('Talnagögn | Numerical Data'!$1:$1048576,_xlfn.XMATCH($A250,'Talnagögn | Numerical Data'!$B:$B),_xlfn.XMATCH($B$2,'Talnagögn | Numerical Data'!$1:$1))-1</f>
        <v>0.57060985819269461</v>
      </c>
      <c r="AL250" s="522" cm="1">
        <f t="array" ref="AL250">INDEX('Talnagögn | Numerical Data'!$1:$1048576,_xlfn.XMATCH($B250,'Talnagögn | Numerical Data'!$C:$C),_xlfn.XMATCH($B$5,'Talnagögn | Numerical Data'!$1:$1))-INDEX('Talnagögn | Numerical Data'!$1:$1048576,_xlfn.XMATCH($A250,'Talnagögn | Numerical Data'!$B:$B),_xlfn.XMATCH($B$1,'Talnagögn | Numerical Data'!$1:$1))</f>
        <v>124.27665335911526</v>
      </c>
      <c r="AM250" s="437" cm="1">
        <f t="array" ref="AM250">INDEX('Talnagögn | Numerical Data'!$1:$1048576,_xlfn.XMATCH($B250,'Talnagögn | Numerical Data'!$C:$C),_xlfn.XMATCH($B$5,'Talnagögn | Numerical Data'!$1:$1))/INDEX('Talnagögn | Numerical Data'!$1:$1048576,_xlfn.XMATCH($A250,'Talnagögn | Numerical Data'!$B:$B),_xlfn.XMATCH($B$1,'Talnagögn | Numerical Data'!$1:$1))-1</f>
        <v>2.035133928713492</v>
      </c>
    </row>
    <row r="251" spans="1:45" s="21" customFormat="1" ht="21" customHeight="1" x14ac:dyDescent="0.4">
      <c r="A251" s="27" t="s">
        <v>81</v>
      </c>
      <c r="B251" s="645" t="s">
        <v>249</v>
      </c>
      <c r="C251" s="645" t="s">
        <v>254</v>
      </c>
      <c r="D251" s="131" t="s">
        <v>44</v>
      </c>
      <c r="E251" s="440" t="str">
        <f>'Talnagögn | Numerical Data'!$E$58</f>
        <v>Vélar og tæki</v>
      </c>
      <c r="F251" s="522" cm="1">
        <f t="array" ref="F251">INDEX('Talnagögn | Numerical Data'!$1:$1048576, _xlfn.XMATCH($A251,'Talnagögn | Numerical Data'!$B:$B), _xlfn.XMATCH($A$1,'Talnagögn | Numerical Data'!$1:$1))</f>
        <v>77.003200912657135</v>
      </c>
      <c r="G251" s="446">
        <f t="shared" si="2"/>
        <v>4.268321178423861E-2</v>
      </c>
      <c r="H251" s="911" cm="1">
        <f t="array" ref="H251">INDEX('Talnagögn | Numerical Data'!$1:$1048576, _xlfn.XMATCH($A251,'Talnagögn | Numerical Data'!$B:$B), _xlfn.XMATCH($A$1,'Talnagögn | Numerical Data'!$1:$1))-INDEX('Talnagögn | Numerical Data'!$1:$1048576, _xlfn.XMATCH($A251,'Talnagögn | Numerical Data'!$B:$B), _xlfn.XMATCH($B$3,'Talnagögn | Numerical Data'!$1:$1))</f>
        <v>0.35018079043446448</v>
      </c>
      <c r="I251" s="448" cm="1">
        <f t="array" ref="I251">INDEX('Talnagögn | Numerical Data'!$1:$1048576, _xlfn.XMATCH($A251,'Talnagögn | Numerical Data'!$B:$B), _xlfn.XMATCH($A$1,'Talnagögn | Numerical Data'!$1:$1))/INDEX('Talnagögn | Numerical Data'!$1:$1048576, _xlfn.XMATCH($A251,'Talnagögn | Numerical Data'!$B:$B), _xlfn.XMATCH($B$3,'Talnagögn | Numerical Data'!$1:$1))-1</f>
        <v>4.5683886933105544E-3</v>
      </c>
      <c r="J251" s="522" cm="1">
        <f t="array" ref="J251">INDEX('Talnagögn | Numerical Data'!$1:$1048576, _xlfn.XMATCH($A251,'Talnagögn | Numerical Data'!$B:$B), _xlfn.XMATCH($A$1,'Talnagögn | Numerical Data'!$1:$1))-INDEX('Talnagögn | Numerical Data'!$1:$1048576, _xlfn.XMATCH($A251,'Talnagögn | Numerical Data'!$B:$B), _xlfn.XMATCH($B$2,'Talnagögn | Numerical Data'!$1:$1))</f>
        <v>-159.8893427048381</v>
      </c>
      <c r="K251" s="447" cm="1">
        <f t="array" ref="K251">INDEX('Talnagögn | Numerical Data'!$1:$1048576, _xlfn.XMATCH($A251,'Talnagögn | Numerical Data'!$B:$B), _xlfn.XMATCH($A$1,'Talnagögn | Numerical Data'!$1:$1))/INDEX('Talnagögn | Numerical Data'!$1:$1048576, _xlfn.XMATCH($A251,'Talnagögn | Numerical Data'!$B:$B), _xlfn.XMATCH($B$2,'Talnagögn | Numerical Data'!$1:$1))-1</f>
        <v>-0.67494459835345277</v>
      </c>
      <c r="L251" s="522" cm="1">
        <f t="array" ref="L251">INDEX('Talnagögn | Numerical Data'!$1:$1048576, _xlfn.XMATCH($A251,'Talnagögn | Numerical Data'!$B:$B), _xlfn.XMATCH($A$1,'Talnagögn | Numerical Data'!$1:$1))-INDEX('Talnagögn | Numerical Data'!$1:$1048576, _xlfn.XMATCH($A251,'Talnagögn | Numerical Data'!$B:$B), _xlfn.XMATCH($B$1,'Talnagögn | Numerical Data'!$1:$1))</f>
        <v>-55.696360893803259</v>
      </c>
      <c r="M251" s="437" cm="1">
        <f t="array" ref="M251">INDEX('Talnagögn | Numerical Data'!$1:$1048576, _xlfn.XMATCH($A251,'Talnagögn | Numerical Data'!$B:$B), _xlfn.XMATCH($A$1,'Talnagögn | Numerical Data'!$1:$1))/INDEX('Talnagögn | Numerical Data'!$1:$1048576, _xlfn.XMATCH($A251,'Talnagögn | Numerical Data'!$B:$B), _xlfn.XMATCH($B$1,'Talnagögn | Numerical Data'!$1:$1))-1</f>
        <v>-0.41971774537609452</v>
      </c>
      <c r="N251" s="178"/>
      <c r="O251" s="440" t="str">
        <f>'Talnagögn | Numerical Data'!$E$58</f>
        <v>Vélar og tæki</v>
      </c>
      <c r="P251" s="522" cm="1">
        <f t="array" ref="P251">INDEX('Talnagögn | Numerical Data'!$1:$1048576,_xlfn.XMATCH($B251,'Talnagögn | Numerical Data'!$C:$C),_xlfn.XMATCH($B$4,'Talnagögn | Numerical Data'!$1:$1))-INDEX('Talnagögn | Numerical Data'!$1:$1048576,_xlfn.XMATCH($A251,'Talnagögn | Numerical Data'!$B:$B),_xlfn.XMATCH($B$2,'Talnagögn | Numerical Data'!$1:$1))</f>
        <v>-152.26839084173926</v>
      </c>
      <c r="Q251" s="447" cm="1">
        <f t="array" ref="Q251">INDEX('Talnagögn | Numerical Data'!$1:$1048576,_xlfn.XMATCH($B251,'Talnagögn | Numerical Data'!$C:$C),_xlfn.XMATCH($B$4,'Talnagögn | Numerical Data'!$1:$1))/INDEX('Talnagögn | Numerical Data'!$1:$1048576,_xlfn.XMATCH($A251,'Talnagögn | Numerical Data'!$B:$B),_xlfn.XMATCH($B$2,'Talnagögn | Numerical Data'!$1:$1))-1</f>
        <v>-0.64277409713495848</v>
      </c>
      <c r="R251" s="522" cm="1">
        <f t="array" ref="R251">INDEX('Talnagögn | Numerical Data'!$1:$1048576,_xlfn.XMATCH($B251,'Talnagögn | Numerical Data'!$C:$C),_xlfn.XMATCH($B$5,'Talnagögn | Numerical Data'!$1:$1))-INDEX('Talnagögn | Numerical Data'!$1:$1048576,_xlfn.XMATCH($A251,'Talnagögn | Numerical Data'!$B:$B),_xlfn.XMATCH($B$1,'Talnagögn | Numerical Data'!$1:$1))</f>
        <v>-107.35811940759874</v>
      </c>
      <c r="S251" s="437" cm="1">
        <f t="array" ref="S251">INDEX('Talnagögn | Numerical Data'!$1:$1048576,_xlfn.XMATCH($B251,'Talnagögn | Numerical Data'!$C:$C),_xlfn.XMATCH($B$5,'Talnagögn | Numerical Data'!$1:$1))/INDEX('Talnagögn | Numerical Data'!$1:$1048576,_xlfn.XMATCH($A251,'Talnagögn | Numerical Data'!$B:$B),_xlfn.XMATCH($B$1,'Talnagögn | Numerical Data'!$1:$1))-1</f>
        <v>-0.80903145380523844</v>
      </c>
      <c r="V251" s="408"/>
      <c r="X251" s="122"/>
      <c r="Y251" s="440" t="str">
        <f>'Talnagögn | Numerical Data'!$G$58</f>
        <v>Off-Road Vehicles and Other Machinery</v>
      </c>
      <c r="Z251" s="522" cm="1">
        <f t="array" ref="Z251">INDEX('Talnagögn | Numerical Data'!$1:$1048576, _xlfn.XMATCH($A251,'Talnagögn | Numerical Data'!$B:$B), _xlfn.XMATCH($A$1,'Talnagögn | Numerical Data'!$1:$1))</f>
        <v>77.003200912657135</v>
      </c>
      <c r="AA251" s="446">
        <f t="shared" si="3"/>
        <v>4.268321178423861E-2</v>
      </c>
      <c r="AB251" s="911" cm="1">
        <f t="array" ref="AB251">INDEX('Talnagögn | Numerical Data'!$1:$1048576, _xlfn.XMATCH($A251,'Talnagögn | Numerical Data'!$B:$B), _xlfn.XMATCH($A$1,'Talnagögn | Numerical Data'!$1:$1))-INDEX('Talnagögn | Numerical Data'!$1:$1048576, _xlfn.XMATCH($A251,'Talnagögn | Numerical Data'!$B:$B), _xlfn.XMATCH($B$3,'Talnagögn | Numerical Data'!$1:$1))</f>
        <v>0.35018079043446448</v>
      </c>
      <c r="AC251" s="448" cm="1">
        <f t="array" ref="AC251">INDEX('Talnagögn | Numerical Data'!$1:$1048576, _xlfn.XMATCH($A251,'Talnagögn | Numerical Data'!$B:$B), _xlfn.XMATCH($A$1,'Talnagögn | Numerical Data'!$1:$1))/INDEX('Talnagögn | Numerical Data'!$1:$1048576, _xlfn.XMATCH($A251,'Talnagögn | Numerical Data'!$B:$B), _xlfn.XMATCH($B$3,'Talnagögn | Numerical Data'!$1:$1))-1</f>
        <v>4.5683886933105544E-3</v>
      </c>
      <c r="AD251" s="522" cm="1">
        <f t="array" ref="AD251">INDEX('Talnagögn | Numerical Data'!$1:$1048576, _xlfn.XMATCH($A251,'Talnagögn | Numerical Data'!$B:$B), _xlfn.XMATCH($A$1,'Talnagögn | Numerical Data'!$1:$1))-INDEX('Talnagögn | Numerical Data'!$1:$1048576, _xlfn.XMATCH($A251,'Talnagögn | Numerical Data'!$B:$B), _xlfn.XMATCH($B$2,'Talnagögn | Numerical Data'!$1:$1))</f>
        <v>-159.8893427048381</v>
      </c>
      <c r="AE251" s="447" cm="1">
        <f t="array" ref="AE251">INDEX('Talnagögn | Numerical Data'!$1:$1048576, _xlfn.XMATCH($A251,'Talnagögn | Numerical Data'!$B:$B), _xlfn.XMATCH($A$1,'Talnagögn | Numerical Data'!$1:$1))/INDEX('Talnagögn | Numerical Data'!$1:$1048576, _xlfn.XMATCH($A251,'Talnagögn | Numerical Data'!$B:$B), _xlfn.XMATCH($B$2,'Talnagögn | Numerical Data'!$1:$1))-1</f>
        <v>-0.67494459835345277</v>
      </c>
      <c r="AF251" s="522" cm="1">
        <f t="array" ref="AF251">INDEX('Talnagögn | Numerical Data'!$1:$1048576, _xlfn.XMATCH($A251,'Talnagögn | Numerical Data'!$B:$B), _xlfn.XMATCH($A$1,'Talnagögn | Numerical Data'!$1:$1))-INDEX('Talnagögn | Numerical Data'!$1:$1048576, _xlfn.XMATCH($A251,'Talnagögn | Numerical Data'!$B:$B), _xlfn.XMATCH($B$1,'Talnagögn | Numerical Data'!$1:$1))</f>
        <v>-55.696360893803259</v>
      </c>
      <c r="AG251" s="437" cm="1">
        <f t="array" ref="AG251">INDEX('Talnagögn | Numerical Data'!$1:$1048576, _xlfn.XMATCH($A251,'Talnagögn | Numerical Data'!$B:$B), _xlfn.XMATCH($A$1,'Talnagögn | Numerical Data'!$1:$1))/INDEX('Talnagögn | Numerical Data'!$1:$1048576, _xlfn.XMATCH($A251,'Talnagögn | Numerical Data'!$B:$B), _xlfn.XMATCH($B$1,'Talnagögn | Numerical Data'!$1:$1))-1</f>
        <v>-0.41971774537609452</v>
      </c>
      <c r="AH251" s="178"/>
      <c r="AI251" s="440" t="str">
        <f>'Talnagögn | Numerical Data'!$G$58</f>
        <v>Off-Road Vehicles and Other Machinery</v>
      </c>
      <c r="AJ251" s="522" cm="1">
        <f t="array" ref="AJ251">INDEX('Talnagögn | Numerical Data'!$1:$1048576,_xlfn.XMATCH($B251,'Talnagögn | Numerical Data'!$C:$C),_xlfn.XMATCH($B$4,'Talnagögn | Numerical Data'!$1:$1))-INDEX('Talnagögn | Numerical Data'!$1:$1048576,_xlfn.XMATCH($A251,'Talnagögn | Numerical Data'!$B:$B),_xlfn.XMATCH($B$2,'Talnagögn | Numerical Data'!$1:$1))</f>
        <v>-152.26839084173926</v>
      </c>
      <c r="AK251" s="447" cm="1">
        <f t="array" ref="AK251">INDEX('Talnagögn | Numerical Data'!$1:$1048576,_xlfn.XMATCH($B251,'Talnagögn | Numerical Data'!$C:$C),_xlfn.XMATCH($B$4,'Talnagögn | Numerical Data'!$1:$1))/INDEX('Talnagögn | Numerical Data'!$1:$1048576,_xlfn.XMATCH($A251,'Talnagögn | Numerical Data'!$B:$B),_xlfn.XMATCH($B$2,'Talnagögn | Numerical Data'!$1:$1))-1</f>
        <v>-0.64277409713495848</v>
      </c>
      <c r="AL251" s="522" cm="1">
        <f t="array" ref="AL251">INDEX('Talnagögn | Numerical Data'!$1:$1048576,_xlfn.XMATCH($B251,'Talnagögn | Numerical Data'!$C:$C),_xlfn.XMATCH($B$5,'Talnagögn | Numerical Data'!$1:$1))-INDEX('Talnagögn | Numerical Data'!$1:$1048576,_xlfn.XMATCH($A251,'Talnagögn | Numerical Data'!$B:$B),_xlfn.XMATCH($B$1,'Talnagögn | Numerical Data'!$1:$1))</f>
        <v>-107.35811940759874</v>
      </c>
      <c r="AM251" s="437" cm="1">
        <f t="array" ref="AM251">INDEX('Talnagögn | Numerical Data'!$1:$1048576,_xlfn.XMATCH($B251,'Talnagögn | Numerical Data'!$C:$C),_xlfn.XMATCH($B$5,'Talnagögn | Numerical Data'!$1:$1))/INDEX('Talnagögn | Numerical Data'!$1:$1048576,_xlfn.XMATCH($A251,'Talnagögn | Numerical Data'!$B:$B),_xlfn.XMATCH($B$1,'Talnagögn | Numerical Data'!$1:$1))-1</f>
        <v>-0.80903145380523844</v>
      </c>
    </row>
    <row r="252" spans="1:45" s="21" customFormat="1" ht="21" customHeight="1" x14ac:dyDescent="0.4">
      <c r="A252" s="27" t="s">
        <v>88</v>
      </c>
      <c r="B252" s="645" t="s">
        <v>250</v>
      </c>
      <c r="C252" s="645" t="s">
        <v>255</v>
      </c>
      <c r="D252" s="131" t="s">
        <v>44</v>
      </c>
      <c r="E252" s="440" t="str">
        <f>'Talnagögn | Numerical Data'!$E$62</f>
        <v>Eldsneytisbruni vegna staðbundins iðnaðar</v>
      </c>
      <c r="F252" s="522" cm="1">
        <f t="array" ref="F252">INDEX('Talnagögn | Numerical Data'!$1:$1048576, _xlfn.XMATCH($A252,'Talnagögn | Numerical Data'!$B:$B), _xlfn.XMATCH($A$1,'Talnagögn | Numerical Data'!$1:$1))</f>
        <v>57.67271537013076</v>
      </c>
      <c r="G252" s="446">
        <f t="shared" si="2"/>
        <v>3.1968238919153527E-2</v>
      </c>
      <c r="H252" s="522" cm="1">
        <f t="array" ref="H252">INDEX('Talnagögn | Numerical Data'!$1:$1048576, _xlfn.XMATCH($A252,'Talnagögn | Numerical Data'!$B:$B), _xlfn.XMATCH($A$1,'Talnagögn | Numerical Data'!$1:$1))-INDEX('Talnagögn | Numerical Data'!$1:$1048576, _xlfn.XMATCH($A252,'Talnagögn | Numerical Data'!$B:$B), _xlfn.XMATCH($B$3,'Talnagögn | Numerical Data'!$1:$1))</f>
        <v>-21.57499551049078</v>
      </c>
      <c r="I252" s="447" cm="1">
        <f t="array" ref="I252">INDEX('Talnagögn | Numerical Data'!$1:$1048576, _xlfn.XMATCH($A252,'Talnagögn | Numerical Data'!$B:$B), _xlfn.XMATCH($A$1,'Talnagögn | Numerical Data'!$1:$1))/INDEX('Talnagögn | Numerical Data'!$1:$1048576, _xlfn.XMATCH($A252,'Talnagögn | Numerical Data'!$B:$B), _xlfn.XMATCH($B$3,'Talnagögn | Numerical Data'!$1:$1))-1</f>
        <v>-0.27224755479677232</v>
      </c>
      <c r="J252" s="522" cm="1">
        <f t="array" ref="J252">INDEX('Talnagögn | Numerical Data'!$1:$1048576, _xlfn.XMATCH($A252,'Talnagögn | Numerical Data'!$B:$B), _xlfn.XMATCH($A$1,'Talnagögn | Numerical Data'!$1:$1))-INDEX('Talnagögn | Numerical Data'!$1:$1048576, _xlfn.XMATCH($A252,'Talnagögn | Numerical Data'!$B:$B), _xlfn.XMATCH($B$2,'Talnagögn | Numerical Data'!$1:$1))</f>
        <v>-127.48835081645896</v>
      </c>
      <c r="K252" s="447" cm="1">
        <f t="array" ref="K252">INDEX('Talnagögn | Numerical Data'!$1:$1048576, _xlfn.XMATCH($A252,'Talnagögn | Numerical Data'!$B:$B), _xlfn.XMATCH($A$1,'Talnagögn | Numerical Data'!$1:$1))/INDEX('Talnagögn | Numerical Data'!$1:$1048576, _xlfn.XMATCH($A252,'Talnagögn | Numerical Data'!$B:$B), _xlfn.XMATCH($B$2,'Talnagögn | Numerical Data'!$1:$1))-1</f>
        <v>-0.68852676992034034</v>
      </c>
      <c r="L252" s="522" cm="1">
        <f t="array" ref="L252">INDEX('Talnagögn | Numerical Data'!$1:$1048576, _xlfn.XMATCH($A252,'Talnagögn | Numerical Data'!$B:$B), _xlfn.XMATCH($A$1,'Talnagögn | Numerical Data'!$1:$1))-INDEX('Talnagögn | Numerical Data'!$1:$1048576, _xlfn.XMATCH($A252,'Talnagögn | Numerical Data'!$B:$B), _xlfn.XMATCH($B$1,'Talnagögn | Numerical Data'!$1:$1))</f>
        <v>-180.6292811037558</v>
      </c>
      <c r="M252" s="437" cm="1">
        <f t="array" ref="M252">INDEX('Talnagögn | Numerical Data'!$1:$1048576, _xlfn.XMATCH($A252,'Talnagögn | Numerical Data'!$B:$B), _xlfn.XMATCH($A$1,'Talnagögn | Numerical Data'!$1:$1))/INDEX('Talnagögn | Numerical Data'!$1:$1048576, _xlfn.XMATCH($A252,'Talnagögn | Numerical Data'!$B:$B), _xlfn.XMATCH($B$1,'Talnagögn | Numerical Data'!$1:$1))-1</f>
        <v>-0.75798475789752517</v>
      </c>
      <c r="N252" s="178"/>
      <c r="O252" s="440" t="str">
        <f>'Talnagögn | Numerical Data'!$E$62</f>
        <v>Eldsneytisbruni vegna staðbundins iðnaðar</v>
      </c>
      <c r="P252" s="522" cm="1">
        <f t="array" ref="P252">INDEX('Talnagögn | Numerical Data'!$1:$1048576,_xlfn.XMATCH($B252,'Talnagögn | Numerical Data'!$C:$C),_xlfn.XMATCH($B$4,'Talnagögn | Numerical Data'!$1:$1))-INDEX('Talnagögn | Numerical Data'!$1:$1048576,_xlfn.XMATCH($A252,'Talnagögn | Numerical Data'!$B:$B),_xlfn.XMATCH($B$2,'Talnagögn | Numerical Data'!$1:$1))</f>
        <v>-135.31995853420636</v>
      </c>
      <c r="Q252" s="447" cm="1">
        <f t="array" ref="Q252">INDEX('Talnagögn | Numerical Data'!$1:$1048576,_xlfn.XMATCH($B252,'Talnagögn | Numerical Data'!$C:$C),_xlfn.XMATCH($B$4,'Talnagögn | Numerical Data'!$1:$1))/INDEX('Talnagögn | Numerical Data'!$1:$1048576,_xlfn.XMATCH($A252,'Talnagögn | Numerical Data'!$B:$B),_xlfn.XMATCH($B$2,'Talnagögn | Numerical Data'!$1:$1))-1</f>
        <v>-0.73082296036166872</v>
      </c>
      <c r="R252" s="522" cm="1">
        <f t="array" ref="R252">INDEX('Talnagögn | Numerical Data'!$1:$1048576,_xlfn.XMATCH($B252,'Talnagögn | Numerical Data'!$C:$C),_xlfn.XMATCH($B$5,'Talnagögn | Numerical Data'!$1:$1))-INDEX('Talnagögn | Numerical Data'!$1:$1048576,_xlfn.XMATCH($A252,'Talnagögn | Numerical Data'!$B:$B),_xlfn.XMATCH($B$1,'Talnagögn | Numerical Data'!$1:$1))</f>
        <v>-226.90982807921552</v>
      </c>
      <c r="S252" s="437" cm="1">
        <f t="array" ref="S252">INDEX('Talnagögn | Numerical Data'!$1:$1048576,_xlfn.XMATCH($B252,'Talnagögn | Numerical Data'!$C:$C),_xlfn.XMATCH($B$5,'Talnagögn | Numerical Data'!$1:$1))/INDEX('Talnagögn | Numerical Data'!$1:$1048576,_xlfn.XMATCH($A252,'Talnagögn | Numerical Data'!$B:$B),_xlfn.XMATCH($B$1,'Talnagögn | Numerical Data'!$1:$1))-1</f>
        <v>-0.95219440641186814</v>
      </c>
      <c r="V252" s="408"/>
      <c r="X252" s="122"/>
      <c r="Y252" s="440" t="str">
        <f>'Talnagögn | Numerical Data'!$G$62</f>
        <v>Fuel Combustion in Stationary Industry</v>
      </c>
      <c r="Z252" s="522" cm="1">
        <f t="array" ref="Z252">INDEX('Talnagögn | Numerical Data'!$1:$1048576, _xlfn.XMATCH($A252,'Talnagögn | Numerical Data'!$B:$B), _xlfn.XMATCH($A$1,'Talnagögn | Numerical Data'!$1:$1))</f>
        <v>57.67271537013076</v>
      </c>
      <c r="AA252" s="446">
        <f t="shared" si="3"/>
        <v>3.1968238919153527E-2</v>
      </c>
      <c r="AB252" s="522" cm="1">
        <f t="array" ref="AB252">INDEX('Talnagögn | Numerical Data'!$1:$1048576, _xlfn.XMATCH($A252,'Talnagögn | Numerical Data'!$B:$B), _xlfn.XMATCH($A$1,'Talnagögn | Numerical Data'!$1:$1))-INDEX('Talnagögn | Numerical Data'!$1:$1048576, _xlfn.XMATCH($A252,'Talnagögn | Numerical Data'!$B:$B), _xlfn.XMATCH($B$3,'Talnagögn | Numerical Data'!$1:$1))</f>
        <v>-21.57499551049078</v>
      </c>
      <c r="AC252" s="447" cm="1">
        <f t="array" ref="AC252">INDEX('Talnagögn | Numerical Data'!$1:$1048576, _xlfn.XMATCH($A252,'Talnagögn | Numerical Data'!$B:$B), _xlfn.XMATCH($A$1,'Talnagögn | Numerical Data'!$1:$1))/INDEX('Talnagögn | Numerical Data'!$1:$1048576, _xlfn.XMATCH($A252,'Talnagögn | Numerical Data'!$B:$B), _xlfn.XMATCH($B$3,'Talnagögn | Numerical Data'!$1:$1))-1</f>
        <v>-0.27224755479677232</v>
      </c>
      <c r="AD252" s="522" cm="1">
        <f t="array" ref="AD252">INDEX('Talnagögn | Numerical Data'!$1:$1048576, _xlfn.XMATCH($A252,'Talnagögn | Numerical Data'!$B:$B), _xlfn.XMATCH($A$1,'Talnagögn | Numerical Data'!$1:$1))-INDEX('Talnagögn | Numerical Data'!$1:$1048576, _xlfn.XMATCH($A252,'Talnagögn | Numerical Data'!$B:$B), _xlfn.XMATCH($B$2,'Talnagögn | Numerical Data'!$1:$1))</f>
        <v>-127.48835081645896</v>
      </c>
      <c r="AE252" s="447" cm="1">
        <f t="array" ref="AE252">INDEX('Talnagögn | Numerical Data'!$1:$1048576, _xlfn.XMATCH($A252,'Talnagögn | Numerical Data'!$B:$B), _xlfn.XMATCH($A$1,'Talnagögn | Numerical Data'!$1:$1))/INDEX('Talnagögn | Numerical Data'!$1:$1048576, _xlfn.XMATCH($A252,'Talnagögn | Numerical Data'!$B:$B), _xlfn.XMATCH($B$2,'Talnagögn | Numerical Data'!$1:$1))-1</f>
        <v>-0.68852676992034034</v>
      </c>
      <c r="AF252" s="522" cm="1">
        <f t="array" ref="AF252">INDEX('Talnagögn | Numerical Data'!$1:$1048576, _xlfn.XMATCH($A252,'Talnagögn | Numerical Data'!$B:$B), _xlfn.XMATCH($A$1,'Talnagögn | Numerical Data'!$1:$1))-INDEX('Talnagögn | Numerical Data'!$1:$1048576, _xlfn.XMATCH($A252,'Talnagögn | Numerical Data'!$B:$B), _xlfn.XMATCH($B$1,'Talnagögn | Numerical Data'!$1:$1))</f>
        <v>-180.6292811037558</v>
      </c>
      <c r="AG252" s="437" cm="1">
        <f t="array" ref="AG252">INDEX('Talnagögn | Numerical Data'!$1:$1048576, _xlfn.XMATCH($A252,'Talnagögn | Numerical Data'!$B:$B), _xlfn.XMATCH($A$1,'Talnagögn | Numerical Data'!$1:$1))/INDEX('Talnagögn | Numerical Data'!$1:$1048576, _xlfn.XMATCH($A252,'Talnagögn | Numerical Data'!$B:$B), _xlfn.XMATCH($B$1,'Talnagögn | Numerical Data'!$1:$1))-1</f>
        <v>-0.75798475789752517</v>
      </c>
      <c r="AH252" s="178"/>
      <c r="AI252" s="440" t="str">
        <f>'Talnagögn | Numerical Data'!$G$62</f>
        <v>Fuel Combustion in Stationary Industry</v>
      </c>
      <c r="AJ252" s="522" cm="1">
        <f t="array" ref="AJ252">INDEX('Talnagögn | Numerical Data'!$1:$1048576,_xlfn.XMATCH($B252,'Talnagögn | Numerical Data'!$C:$C),_xlfn.XMATCH($B$4,'Talnagögn | Numerical Data'!$1:$1))-INDEX('Talnagögn | Numerical Data'!$1:$1048576,_xlfn.XMATCH($A252,'Talnagögn | Numerical Data'!$B:$B),_xlfn.XMATCH($B$2,'Talnagögn | Numerical Data'!$1:$1))</f>
        <v>-135.31995853420636</v>
      </c>
      <c r="AK252" s="447" cm="1">
        <f t="array" ref="AK252">INDEX('Talnagögn | Numerical Data'!$1:$1048576,_xlfn.XMATCH($B252,'Talnagögn | Numerical Data'!$C:$C),_xlfn.XMATCH($B$4,'Talnagögn | Numerical Data'!$1:$1))/INDEX('Talnagögn | Numerical Data'!$1:$1048576,_xlfn.XMATCH($A252,'Talnagögn | Numerical Data'!$B:$B),_xlfn.XMATCH($B$2,'Talnagögn | Numerical Data'!$1:$1))-1</f>
        <v>-0.73082296036166872</v>
      </c>
      <c r="AL252" s="522" cm="1">
        <f t="array" ref="AL252">INDEX('Talnagögn | Numerical Data'!$1:$1048576,_xlfn.XMATCH($B252,'Talnagögn | Numerical Data'!$C:$C),_xlfn.XMATCH($B$5,'Talnagögn | Numerical Data'!$1:$1))-INDEX('Talnagögn | Numerical Data'!$1:$1048576,_xlfn.XMATCH($A252,'Talnagögn | Numerical Data'!$B:$B),_xlfn.XMATCH($B$1,'Talnagögn | Numerical Data'!$1:$1))</f>
        <v>-226.90982807921552</v>
      </c>
      <c r="AM252" s="437" cm="1">
        <f t="array" ref="AM252">INDEX('Talnagögn | Numerical Data'!$1:$1048576,_xlfn.XMATCH($B252,'Talnagögn | Numerical Data'!$C:$C),_xlfn.XMATCH($B$5,'Talnagögn | Numerical Data'!$1:$1))/INDEX('Talnagögn | Numerical Data'!$1:$1048576,_xlfn.XMATCH($A252,'Talnagögn | Numerical Data'!$B:$B),_xlfn.XMATCH($B$1,'Talnagögn | Numerical Data'!$1:$1))-1</f>
        <v>-0.95219440641186814</v>
      </c>
    </row>
    <row r="253" spans="1:45" s="21" customFormat="1" ht="21" customHeight="1" x14ac:dyDescent="0.4">
      <c r="A253" s="27" t="s">
        <v>48</v>
      </c>
      <c r="B253" s="645" t="s">
        <v>247</v>
      </c>
      <c r="C253" s="645" t="s">
        <v>252</v>
      </c>
      <c r="D253" s="131" t="s">
        <v>44</v>
      </c>
      <c r="E253" s="440" t="str">
        <f>'Talnagögn | Numerical Data'!$E$56</f>
        <v>Innanlandsflug</v>
      </c>
      <c r="F253" s="522" cm="1">
        <f t="array" ref="F253">INDEX('Talnagögn | Numerical Data'!$1:$1048576, _xlfn.XMATCH($A253,'Talnagögn | Numerical Data'!$B:$B), _xlfn.XMATCH($A$1,'Talnagögn | Numerical Data'!$1:$1))</f>
        <v>19.219314461733333</v>
      </c>
      <c r="G253" s="446">
        <f t="shared" si="2"/>
        <v>1.0653350247719413E-2</v>
      </c>
      <c r="H253" s="523" cm="1">
        <f t="array" ref="H253">INDEX('Talnagögn | Numerical Data'!$1:$1048576, _xlfn.XMATCH($A253,'Talnagögn | Numerical Data'!$B:$B), _xlfn.XMATCH($A$1,'Talnagögn | Numerical Data'!$1:$1))-INDEX('Talnagögn | Numerical Data'!$1:$1048576, _xlfn.XMATCH($A253,'Talnagögn | Numerical Data'!$B:$B), _xlfn.XMATCH($B$3,'Talnagögn | Numerical Data'!$1:$1))</f>
        <v>-1.2796796777333377</v>
      </c>
      <c r="I253" s="446" cm="1">
        <f t="array" ref="I253">INDEX('Talnagögn | Numerical Data'!$1:$1048576, _xlfn.XMATCH($A253,'Talnagögn | Numerical Data'!$B:$B), _xlfn.XMATCH($A$1,'Talnagögn | Numerical Data'!$1:$1))/INDEX('Talnagögn | Numerical Data'!$1:$1048576, _xlfn.XMATCH($A253,'Talnagögn | Numerical Data'!$B:$B), _xlfn.XMATCH($B$3,'Talnagögn | Numerical Data'!$1:$1))-1</f>
        <v>-6.2426461953543955E-2</v>
      </c>
      <c r="J253" s="523" cm="1">
        <f t="array" ref="J253">INDEX('Talnagögn | Numerical Data'!$1:$1048576, _xlfn.XMATCH($A253,'Talnagögn | Numerical Data'!$B:$B), _xlfn.XMATCH($A$1,'Talnagögn | Numerical Data'!$1:$1))-INDEX('Talnagögn | Numerical Data'!$1:$1048576, _xlfn.XMATCH($A253,'Talnagögn | Numerical Data'!$B:$B), _xlfn.XMATCH($B$2,'Talnagögn | Numerical Data'!$1:$1))</f>
        <v>-6.9861272499999991</v>
      </c>
      <c r="K253" s="447" cm="1">
        <f t="array" ref="K253">INDEX('Talnagögn | Numerical Data'!$1:$1048576, _xlfn.XMATCH($A253,'Talnagögn | Numerical Data'!$B:$B), _xlfn.XMATCH($A$1,'Talnagögn | Numerical Data'!$1:$1))/INDEX('Talnagögn | Numerical Data'!$1:$1048576, _xlfn.XMATCH($A253,'Talnagögn | Numerical Data'!$B:$B), _xlfn.XMATCH($B$2,'Talnagögn | Numerical Data'!$1:$1))-1</f>
        <v>-0.26659070764191706</v>
      </c>
      <c r="L253" s="522" cm="1">
        <f t="array" ref="L253">INDEX('Talnagögn | Numerical Data'!$1:$1048576, _xlfn.XMATCH($A253,'Talnagögn | Numerical Data'!$B:$B), _xlfn.XMATCH($A$1,'Talnagögn | Numerical Data'!$1:$1))-INDEX('Talnagögn | Numerical Data'!$1:$1048576, _xlfn.XMATCH($A253,'Talnagögn | Numerical Data'!$B:$B), _xlfn.XMATCH($B$1,'Talnagögn | Numerical Data'!$1:$1))</f>
        <v>-14.373374797733334</v>
      </c>
      <c r="M253" s="437" cm="1">
        <f t="array" ref="M253">INDEX('Talnagögn | Numerical Data'!$1:$1048576, _xlfn.XMATCH($A253,'Talnagögn | Numerical Data'!$B:$B), _xlfn.XMATCH($A$1,'Talnagögn | Numerical Data'!$1:$1))/INDEX('Talnagögn | Numerical Data'!$1:$1048576, _xlfn.XMATCH($A253,'Talnagögn | Numerical Data'!$B:$B), _xlfn.XMATCH($B$1,'Talnagögn | Numerical Data'!$1:$1))-1</f>
        <v>-0.42787210891973504</v>
      </c>
      <c r="N253" s="178"/>
      <c r="O253" s="440" t="str">
        <f>'Talnagögn | Numerical Data'!$E$56</f>
        <v>Innanlandsflug</v>
      </c>
      <c r="P253" s="523" cm="1">
        <f t="array" ref="P253">INDEX('Talnagögn | Numerical Data'!$1:$1048576,_xlfn.XMATCH($B253,'Talnagögn | Numerical Data'!$C:$C),_xlfn.XMATCH($B$4,'Talnagögn | Numerical Data'!$1:$1))-INDEX('Talnagögn | Numerical Data'!$1:$1048576,_xlfn.XMATCH($A253,'Talnagögn | Numerical Data'!$B:$B),_xlfn.XMATCH($B$2,'Talnagögn | Numerical Data'!$1:$1))</f>
        <v>-6.6593707375733686</v>
      </c>
      <c r="Q253" s="446" cm="1">
        <f t="array" ref="Q253">INDEX('Talnagögn | Numerical Data'!$1:$1048576,_xlfn.XMATCH($B253,'Talnagögn | Numerical Data'!$C:$C),_xlfn.XMATCH($B$4,'Talnagögn | Numerical Data'!$1:$1))/INDEX('Talnagögn | Numerical Data'!$1:$1048576,_xlfn.XMATCH($A253,'Talnagögn | Numerical Data'!$B:$B),_xlfn.XMATCH($B$2,'Talnagögn | Numerical Data'!$1:$1))-1</f>
        <v>-0.25412167483487502</v>
      </c>
      <c r="R253" s="522" cm="1">
        <f t="array" ref="R253">INDEX('Talnagögn | Numerical Data'!$1:$1048576,_xlfn.XMATCH($B253,'Talnagögn | Numerical Data'!$C:$C),_xlfn.XMATCH($B$5,'Talnagögn | Numerical Data'!$1:$1))-INDEX('Talnagögn | Numerical Data'!$1:$1048576,_xlfn.XMATCH($A253,'Talnagögn | Numerical Data'!$B:$B),_xlfn.XMATCH($B$1,'Talnagögn | Numerical Data'!$1:$1))</f>
        <v>-33.572898433056871</v>
      </c>
      <c r="S253" s="438" cm="1">
        <f t="array" ref="S253">INDEX('Talnagögn | Numerical Data'!$1:$1048576,_xlfn.XMATCH($B253,'Talnagögn | Numerical Data'!$C:$C),_xlfn.XMATCH($B$5,'Talnagögn | Numerical Data'!$1:$1))/INDEX('Talnagögn | Numerical Data'!$1:$1048576,_xlfn.XMATCH($A253,'Talnagögn | Numerical Data'!$B:$B),_xlfn.XMATCH($B$1,'Talnagögn | Numerical Data'!$1:$1))-1</f>
        <v>-0.99941085912303906</v>
      </c>
      <c r="V253" s="408"/>
      <c r="X253" s="122"/>
      <c r="Y253" s="440" t="str">
        <f>'Talnagögn | Numerical Data'!$G$56</f>
        <v>Domestic Aviation</v>
      </c>
      <c r="Z253" s="522" cm="1">
        <f t="array" ref="Z253">INDEX('Talnagögn | Numerical Data'!$1:$1048576, _xlfn.XMATCH($A253,'Talnagögn | Numerical Data'!$B:$B), _xlfn.XMATCH($A$1,'Talnagögn | Numerical Data'!$1:$1))</f>
        <v>19.219314461733333</v>
      </c>
      <c r="AA253" s="446">
        <f t="shared" si="3"/>
        <v>1.0653350247719413E-2</v>
      </c>
      <c r="AB253" s="523" cm="1">
        <f t="array" ref="AB253">INDEX('Talnagögn | Numerical Data'!$1:$1048576, _xlfn.XMATCH($A253,'Talnagögn | Numerical Data'!$B:$B), _xlfn.XMATCH($A$1,'Talnagögn | Numerical Data'!$1:$1))-INDEX('Talnagögn | Numerical Data'!$1:$1048576, _xlfn.XMATCH($A253,'Talnagögn | Numerical Data'!$B:$B), _xlfn.XMATCH($B$3,'Talnagögn | Numerical Data'!$1:$1))</f>
        <v>-1.2796796777333377</v>
      </c>
      <c r="AC253" s="446" cm="1">
        <f t="array" ref="AC253">INDEX('Talnagögn | Numerical Data'!$1:$1048576, _xlfn.XMATCH($A253,'Talnagögn | Numerical Data'!$B:$B), _xlfn.XMATCH($A$1,'Talnagögn | Numerical Data'!$1:$1))/INDEX('Talnagögn | Numerical Data'!$1:$1048576, _xlfn.XMATCH($A253,'Talnagögn | Numerical Data'!$B:$B), _xlfn.XMATCH($B$3,'Talnagögn | Numerical Data'!$1:$1))-1</f>
        <v>-6.2426461953543955E-2</v>
      </c>
      <c r="AD253" s="523" cm="1">
        <f t="array" ref="AD253">INDEX('Talnagögn | Numerical Data'!$1:$1048576, _xlfn.XMATCH($A253,'Talnagögn | Numerical Data'!$B:$B), _xlfn.XMATCH($A$1,'Talnagögn | Numerical Data'!$1:$1))-INDEX('Talnagögn | Numerical Data'!$1:$1048576, _xlfn.XMATCH($A253,'Talnagögn | Numerical Data'!$B:$B), _xlfn.XMATCH($B$2,'Talnagögn | Numerical Data'!$1:$1))</f>
        <v>-6.9861272499999991</v>
      </c>
      <c r="AE253" s="447" cm="1">
        <f t="array" ref="AE253">INDEX('Talnagögn | Numerical Data'!$1:$1048576, _xlfn.XMATCH($A253,'Talnagögn | Numerical Data'!$B:$B), _xlfn.XMATCH($A$1,'Talnagögn | Numerical Data'!$1:$1))/INDEX('Talnagögn | Numerical Data'!$1:$1048576, _xlfn.XMATCH($A253,'Talnagögn | Numerical Data'!$B:$B), _xlfn.XMATCH($B$2,'Talnagögn | Numerical Data'!$1:$1))-1</f>
        <v>-0.26659070764191706</v>
      </c>
      <c r="AF253" s="522" cm="1">
        <f t="array" ref="AF253">INDEX('Talnagögn | Numerical Data'!$1:$1048576, _xlfn.XMATCH($A253,'Talnagögn | Numerical Data'!$B:$B), _xlfn.XMATCH($A$1,'Talnagögn | Numerical Data'!$1:$1))-INDEX('Talnagögn | Numerical Data'!$1:$1048576, _xlfn.XMATCH($A253,'Talnagögn | Numerical Data'!$B:$B), _xlfn.XMATCH($B$1,'Talnagögn | Numerical Data'!$1:$1))</f>
        <v>-14.373374797733334</v>
      </c>
      <c r="AG253" s="437" cm="1">
        <f t="array" ref="AG253">INDEX('Talnagögn | Numerical Data'!$1:$1048576, _xlfn.XMATCH($A253,'Talnagögn | Numerical Data'!$B:$B), _xlfn.XMATCH($A$1,'Talnagögn | Numerical Data'!$1:$1))/INDEX('Talnagögn | Numerical Data'!$1:$1048576, _xlfn.XMATCH($A253,'Talnagögn | Numerical Data'!$B:$B), _xlfn.XMATCH($B$1,'Talnagögn | Numerical Data'!$1:$1))-1</f>
        <v>-0.42787210891973504</v>
      </c>
      <c r="AH253" s="178"/>
      <c r="AI253" s="440" t="str">
        <f>'Talnagögn | Numerical Data'!$G$56</f>
        <v>Domestic Aviation</v>
      </c>
      <c r="AJ253" s="523" cm="1">
        <f t="array" ref="AJ253">INDEX('Talnagögn | Numerical Data'!$1:$1048576,_xlfn.XMATCH($B253,'Talnagögn | Numerical Data'!$C:$C),_xlfn.XMATCH($B$4,'Talnagögn | Numerical Data'!$1:$1))-INDEX('Talnagögn | Numerical Data'!$1:$1048576,_xlfn.XMATCH($A253,'Talnagögn | Numerical Data'!$B:$B),_xlfn.XMATCH($B$2,'Talnagögn | Numerical Data'!$1:$1))</f>
        <v>-6.6593707375733686</v>
      </c>
      <c r="AK253" s="446" cm="1">
        <f t="array" ref="AK253">INDEX('Talnagögn | Numerical Data'!$1:$1048576,_xlfn.XMATCH($B253,'Talnagögn | Numerical Data'!$C:$C),_xlfn.XMATCH($B$4,'Talnagögn | Numerical Data'!$1:$1))/INDEX('Talnagögn | Numerical Data'!$1:$1048576,_xlfn.XMATCH($A253,'Talnagögn | Numerical Data'!$B:$B),_xlfn.XMATCH($B$2,'Talnagögn | Numerical Data'!$1:$1))-1</f>
        <v>-0.25412167483487502</v>
      </c>
      <c r="AL253" s="522" cm="1">
        <f t="array" ref="AL253">INDEX('Talnagögn | Numerical Data'!$1:$1048576,_xlfn.XMATCH($B253,'Talnagögn | Numerical Data'!$C:$C),_xlfn.XMATCH($B$5,'Talnagögn | Numerical Data'!$1:$1))-INDEX('Talnagögn | Numerical Data'!$1:$1048576,_xlfn.XMATCH($A253,'Talnagögn | Numerical Data'!$B:$B),_xlfn.XMATCH($B$1,'Talnagögn | Numerical Data'!$1:$1))</f>
        <v>-33.572898433056871</v>
      </c>
      <c r="AM253" s="438" cm="1">
        <f t="array" ref="AM253">INDEX('Talnagögn | Numerical Data'!$1:$1048576,_xlfn.XMATCH($B253,'Talnagögn | Numerical Data'!$C:$C),_xlfn.XMATCH($B$5,'Talnagögn | Numerical Data'!$1:$1))/INDEX('Talnagögn | Numerical Data'!$1:$1048576,_xlfn.XMATCH($A253,'Talnagögn | Numerical Data'!$B:$B),_xlfn.XMATCH($B$1,'Talnagögn | Numerical Data'!$1:$1))-1</f>
        <v>-0.99941085912303906</v>
      </c>
    </row>
    <row r="254" spans="1:45" s="21" customFormat="1" ht="21" customHeight="1" x14ac:dyDescent="0.4">
      <c r="A254" s="27" t="s">
        <v>49</v>
      </c>
      <c r="B254" s="645" t="s">
        <v>248</v>
      </c>
      <c r="C254" s="645" t="s">
        <v>253</v>
      </c>
      <c r="D254" s="131" t="s">
        <v>44</v>
      </c>
      <c r="E254" s="440" t="str">
        <f>'Talnagögn | Numerical Data'!$E$57</f>
        <v>Strandsiglingar</v>
      </c>
      <c r="F254" s="522" cm="1">
        <f t="array" ref="F254">INDEX('Talnagögn | Numerical Data'!$1:$1048576, _xlfn.XMATCH($A254,'Talnagögn | Numerical Data'!$B:$B), _xlfn.XMATCH($A$1,'Talnagögn | Numerical Data'!$1:$1))</f>
        <v>22.342012716758749</v>
      </c>
      <c r="G254" s="446">
        <f t="shared" si="2"/>
        <v>1.2384275577806745E-2</v>
      </c>
      <c r="H254" s="523" cm="1">
        <f t="array" ref="H254">INDEX('Talnagögn | Numerical Data'!$1:$1048576, _xlfn.XMATCH($A254,'Talnagögn | Numerical Data'!$B:$B), _xlfn.XMATCH($A$1,'Talnagögn | Numerical Data'!$1:$1))-INDEX('Talnagögn | Numerical Data'!$1:$1048576, _xlfn.XMATCH($A254,'Talnagögn | Numerical Data'!$B:$B), _xlfn.XMATCH($B$3,'Talnagögn | Numerical Data'!$1:$1))</f>
        <v>8.8709044563799164</v>
      </c>
      <c r="I254" s="447" cm="1">
        <f t="array" ref="I254">INDEX('Talnagögn | Numerical Data'!$1:$1048576, _xlfn.XMATCH($A254,'Talnagögn | Numerical Data'!$B:$B), _xlfn.XMATCH($A$1,'Talnagögn | Numerical Data'!$1:$1))/INDEX('Talnagögn | Numerical Data'!$1:$1048576, _xlfn.XMATCH($A254,'Talnagögn | Numerical Data'!$B:$B), _xlfn.XMATCH($B$3,'Talnagögn | Numerical Data'!$1:$1))-1</f>
        <v>0.65851333720410987</v>
      </c>
      <c r="J254" s="911" cm="1">
        <f t="array" ref="J254">INDEX('Talnagögn | Numerical Data'!$1:$1048576, _xlfn.XMATCH($A254,'Talnagögn | Numerical Data'!$B:$B), _xlfn.XMATCH($A$1,'Talnagögn | Numerical Data'!$1:$1))-INDEX('Talnagögn | Numerical Data'!$1:$1048576, _xlfn.XMATCH($A254,'Talnagögn | Numerical Data'!$B:$B), _xlfn.XMATCH($B$2,'Talnagögn | Numerical Data'!$1:$1))</f>
        <v>-0.26083624434675556</v>
      </c>
      <c r="K254" s="446" cm="1">
        <f t="array" ref="K254">INDEX('Talnagögn | Numerical Data'!$1:$1048576, _xlfn.XMATCH($A254,'Talnagögn | Numerical Data'!$B:$B), _xlfn.XMATCH($A$1,'Talnagögn | Numerical Data'!$1:$1))/INDEX('Talnagögn | Numerical Data'!$1:$1048576, _xlfn.XMATCH($A254,'Talnagögn | Numerical Data'!$B:$B), _xlfn.XMATCH($B$2,'Talnagögn | Numerical Data'!$1:$1))-1</f>
        <v>-1.1539972009528388E-2</v>
      </c>
      <c r="L254" s="522" cm="1">
        <f t="array" ref="L254">INDEX('Talnagögn | Numerical Data'!$1:$1048576, _xlfn.XMATCH($A254,'Talnagögn | Numerical Data'!$B:$B), _xlfn.XMATCH($A$1,'Talnagögn | Numerical Data'!$1:$1))-INDEX('Talnagögn | Numerical Data'!$1:$1048576, _xlfn.XMATCH($A254,'Talnagögn | Numerical Data'!$B:$B), _xlfn.XMATCH($B$1,'Talnagögn | Numerical Data'!$1:$1))</f>
        <v>-10.563994749910972</v>
      </c>
      <c r="M254" s="437" cm="1">
        <f t="array" ref="M254">INDEX('Talnagögn | Numerical Data'!$1:$1048576, _xlfn.XMATCH($A254,'Talnagögn | Numerical Data'!$B:$B), _xlfn.XMATCH($A$1,'Talnagögn | Numerical Data'!$1:$1))/INDEX('Talnagögn | Numerical Data'!$1:$1048576, _xlfn.XMATCH($A254,'Talnagögn | Numerical Data'!$B:$B), _xlfn.XMATCH($B$1,'Talnagögn | Numerical Data'!$1:$1))-1</f>
        <v>-0.32103544499013359</v>
      </c>
      <c r="N254" s="178"/>
      <c r="O254" s="440" t="str">
        <f>'Talnagögn | Numerical Data'!$E$57</f>
        <v>Strandsiglingar</v>
      </c>
      <c r="P254" s="522" cm="1">
        <f t="array" ref="P254">INDEX('Talnagögn | Numerical Data'!$1:$1048576,_xlfn.XMATCH($B254,'Talnagögn | Numerical Data'!$C:$C),_xlfn.XMATCH($B$4,'Talnagögn | Numerical Data'!$1:$1))-INDEX('Talnagögn | Numerical Data'!$1:$1048576,_xlfn.XMATCH($A254,'Talnagögn | Numerical Data'!$B:$B),_xlfn.XMATCH($B$2,'Talnagögn | Numerical Data'!$1:$1))</f>
        <v>-8.5780032263275512</v>
      </c>
      <c r="Q254" s="447" cm="1">
        <f t="array" ref="Q254">INDEX('Talnagögn | Numerical Data'!$1:$1048576,_xlfn.XMATCH($B254,'Talnagögn | Numerical Data'!$C:$C),_xlfn.XMATCH($B$4,'Talnagögn | Numerical Data'!$1:$1))/INDEX('Talnagögn | Numerical Data'!$1:$1048576,_xlfn.XMATCH($A254,'Talnagögn | Numerical Data'!$B:$B),_xlfn.XMATCH($B$2,'Talnagögn | Numerical Data'!$1:$1))-1</f>
        <v>-0.37950982378762932</v>
      </c>
      <c r="R254" s="522" cm="1">
        <f t="array" ref="R254">INDEX('Talnagögn | Numerical Data'!$1:$1048576,_xlfn.XMATCH($B254,'Talnagögn | Numerical Data'!$C:$C),_xlfn.XMATCH($B$5,'Talnagögn | Numerical Data'!$1:$1))-INDEX('Talnagögn | Numerical Data'!$1:$1048576,_xlfn.XMATCH($A254,'Talnagögn | Numerical Data'!$B:$B),_xlfn.XMATCH($B$1,'Talnagögn | Numerical Data'!$1:$1))</f>
        <v>-32.345976579674335</v>
      </c>
      <c r="S254" s="438" cm="1">
        <f t="array" ref="S254">INDEX('Talnagögn | Numerical Data'!$1:$1048576,_xlfn.XMATCH($B254,'Talnagögn | Numerical Data'!$C:$C),_xlfn.XMATCH($B$5,'Talnagögn | Numerical Data'!$1:$1))/INDEX('Talnagögn | Numerical Data'!$1:$1048576,_xlfn.XMATCH($A254,'Talnagögn | Numerical Data'!$B:$B),_xlfn.XMATCH($B$1,'Talnagögn | Numerical Data'!$1:$1))-1</f>
        <v>-0.9829808922409492</v>
      </c>
      <c r="V254" s="408"/>
      <c r="X254" s="122"/>
      <c r="Y254" s="440" t="str">
        <f>'Talnagögn | Numerical Data'!$G$57</f>
        <v>Domestic Navigation</v>
      </c>
      <c r="Z254" s="522" cm="1">
        <f t="array" ref="Z254">INDEX('Talnagögn | Numerical Data'!$1:$1048576, _xlfn.XMATCH($A254,'Talnagögn | Numerical Data'!$B:$B), _xlfn.XMATCH($A$1,'Talnagögn | Numerical Data'!$1:$1))</f>
        <v>22.342012716758749</v>
      </c>
      <c r="AA254" s="446">
        <f t="shared" si="3"/>
        <v>1.2384275577806745E-2</v>
      </c>
      <c r="AB254" s="523" cm="1">
        <f t="array" ref="AB254">INDEX('Talnagögn | Numerical Data'!$1:$1048576, _xlfn.XMATCH($A254,'Talnagögn | Numerical Data'!$B:$B), _xlfn.XMATCH($A$1,'Talnagögn | Numerical Data'!$1:$1))-INDEX('Talnagögn | Numerical Data'!$1:$1048576, _xlfn.XMATCH($A254,'Talnagögn | Numerical Data'!$B:$B), _xlfn.XMATCH($B$3,'Talnagögn | Numerical Data'!$1:$1))</f>
        <v>8.8709044563799164</v>
      </c>
      <c r="AC254" s="447" cm="1">
        <f t="array" ref="AC254">INDEX('Talnagögn | Numerical Data'!$1:$1048576, _xlfn.XMATCH($A254,'Talnagögn | Numerical Data'!$B:$B), _xlfn.XMATCH($A$1,'Talnagögn | Numerical Data'!$1:$1))/INDEX('Talnagögn | Numerical Data'!$1:$1048576, _xlfn.XMATCH($A254,'Talnagögn | Numerical Data'!$B:$B), _xlfn.XMATCH($B$3,'Talnagögn | Numerical Data'!$1:$1))-1</f>
        <v>0.65851333720410987</v>
      </c>
      <c r="AD254" s="911" cm="1">
        <f t="array" ref="AD254">INDEX('Talnagögn | Numerical Data'!$1:$1048576, _xlfn.XMATCH($A254,'Talnagögn | Numerical Data'!$B:$B), _xlfn.XMATCH($A$1,'Talnagögn | Numerical Data'!$1:$1))-INDEX('Talnagögn | Numerical Data'!$1:$1048576, _xlfn.XMATCH($A254,'Talnagögn | Numerical Data'!$B:$B), _xlfn.XMATCH($B$2,'Talnagögn | Numerical Data'!$1:$1))</f>
        <v>-0.26083624434675556</v>
      </c>
      <c r="AE254" s="446" cm="1">
        <f t="array" ref="AE254">INDEX('Talnagögn | Numerical Data'!$1:$1048576, _xlfn.XMATCH($A254,'Talnagögn | Numerical Data'!$B:$B), _xlfn.XMATCH($A$1,'Talnagögn | Numerical Data'!$1:$1))/INDEX('Talnagögn | Numerical Data'!$1:$1048576, _xlfn.XMATCH($A254,'Talnagögn | Numerical Data'!$B:$B), _xlfn.XMATCH($B$2,'Talnagögn | Numerical Data'!$1:$1))-1</f>
        <v>-1.1539972009528388E-2</v>
      </c>
      <c r="AF254" s="522" cm="1">
        <f t="array" ref="AF254">INDEX('Talnagögn | Numerical Data'!$1:$1048576, _xlfn.XMATCH($A254,'Talnagögn | Numerical Data'!$B:$B), _xlfn.XMATCH($A$1,'Talnagögn | Numerical Data'!$1:$1))-INDEX('Talnagögn | Numerical Data'!$1:$1048576, _xlfn.XMATCH($A254,'Talnagögn | Numerical Data'!$B:$B), _xlfn.XMATCH($B$1,'Talnagögn | Numerical Data'!$1:$1))</f>
        <v>-10.563994749910972</v>
      </c>
      <c r="AG254" s="437" cm="1">
        <f t="array" ref="AG254">INDEX('Talnagögn | Numerical Data'!$1:$1048576, _xlfn.XMATCH($A254,'Talnagögn | Numerical Data'!$B:$B), _xlfn.XMATCH($A$1,'Talnagögn | Numerical Data'!$1:$1))/INDEX('Talnagögn | Numerical Data'!$1:$1048576, _xlfn.XMATCH($A254,'Talnagögn | Numerical Data'!$B:$B), _xlfn.XMATCH($B$1,'Talnagögn | Numerical Data'!$1:$1))-1</f>
        <v>-0.32103544499013359</v>
      </c>
      <c r="AH254" s="178"/>
      <c r="AI254" s="440" t="str">
        <f>'Talnagögn | Numerical Data'!$G$57</f>
        <v>Domestic Navigation</v>
      </c>
      <c r="AJ254" s="522" cm="1">
        <f t="array" ref="AJ254">INDEX('Talnagögn | Numerical Data'!$1:$1048576,_xlfn.XMATCH($B254,'Talnagögn | Numerical Data'!$C:$C),_xlfn.XMATCH($B$4,'Talnagögn | Numerical Data'!$1:$1))-INDEX('Talnagögn | Numerical Data'!$1:$1048576,_xlfn.XMATCH($A254,'Talnagögn | Numerical Data'!$B:$B),_xlfn.XMATCH($B$2,'Talnagögn | Numerical Data'!$1:$1))</f>
        <v>-8.5780032263275512</v>
      </c>
      <c r="AK254" s="447" cm="1">
        <f t="array" ref="AK254">INDEX('Talnagögn | Numerical Data'!$1:$1048576,_xlfn.XMATCH($B254,'Talnagögn | Numerical Data'!$C:$C),_xlfn.XMATCH($B$4,'Talnagögn | Numerical Data'!$1:$1))/INDEX('Talnagögn | Numerical Data'!$1:$1048576,_xlfn.XMATCH($A254,'Talnagögn | Numerical Data'!$B:$B),_xlfn.XMATCH($B$2,'Talnagögn | Numerical Data'!$1:$1))-1</f>
        <v>-0.37950982378762932</v>
      </c>
      <c r="AL254" s="522" cm="1">
        <f t="array" ref="AL254">INDEX('Talnagögn | Numerical Data'!$1:$1048576,_xlfn.XMATCH($B254,'Talnagögn | Numerical Data'!$C:$C),_xlfn.XMATCH($B$5,'Talnagögn | Numerical Data'!$1:$1))-INDEX('Talnagögn | Numerical Data'!$1:$1048576,_xlfn.XMATCH($A254,'Talnagögn | Numerical Data'!$B:$B),_xlfn.XMATCH($B$1,'Talnagögn | Numerical Data'!$1:$1))</f>
        <v>-32.345976579674335</v>
      </c>
      <c r="AM254" s="438" cm="1">
        <f t="array" ref="AM254">INDEX('Talnagögn | Numerical Data'!$1:$1048576,_xlfn.XMATCH($B254,'Talnagögn | Numerical Data'!$C:$C),_xlfn.XMATCH($B$5,'Talnagögn | Numerical Data'!$1:$1))/INDEX('Talnagögn | Numerical Data'!$1:$1048576,_xlfn.XMATCH($A254,'Talnagögn | Numerical Data'!$B:$B),_xlfn.XMATCH($B$1,'Talnagögn | Numerical Data'!$1:$1))-1</f>
        <v>-0.9829808922409492</v>
      </c>
    </row>
    <row r="255" spans="1:45" s="21" customFormat="1" ht="21" customHeight="1" x14ac:dyDescent="0.4">
      <c r="A255" s="27" t="s">
        <v>87</v>
      </c>
      <c r="B255" s="645" t="s">
        <v>251</v>
      </c>
      <c r="C255" s="645" t="s">
        <v>256</v>
      </c>
      <c r="D255" s="131" t="s">
        <v>44</v>
      </c>
      <c r="E255" s="442" t="str">
        <f>'Talnagögn | Numerical Data'!$E$66</f>
        <v>Önnur losun</v>
      </c>
      <c r="F255" s="525" cm="1">
        <f t="array" ref="F255">INDEX('Talnagögn | Numerical Data'!$1:$1048576, _xlfn.XMATCH($A255,'Talnagögn | Numerical Data'!$B:$B), _xlfn.XMATCH($A$1,'Talnagögn | Numerical Data'!$1:$1))</f>
        <v>14.418335968391148</v>
      </c>
      <c r="G255" s="910">
        <f t="shared" si="2"/>
        <v>7.9921468253404352E-3</v>
      </c>
      <c r="H255" s="525" cm="1">
        <f t="array" ref="H255">INDEX('Talnagögn | Numerical Data'!$1:$1048576, _xlfn.XMATCH($A255,'Talnagögn | Numerical Data'!$B:$B), _xlfn.XMATCH($A$1,'Talnagögn | Numerical Data'!$1:$1))-INDEX('Talnagögn | Numerical Data'!$1:$1048576, _xlfn.XMATCH($A255,'Talnagögn | Numerical Data'!$B:$B), _xlfn.XMATCH($B$3,'Talnagögn | Numerical Data'!$1:$1))</f>
        <v>-13.36869557448108</v>
      </c>
      <c r="I255" s="450" cm="1">
        <f t="array" ref="I255">INDEX('Talnagögn | Numerical Data'!$1:$1048576, _xlfn.XMATCH($A255,'Talnagögn | Numerical Data'!$B:$B), _xlfn.XMATCH($A$1,'Talnagögn | Numerical Data'!$1:$1))/INDEX('Talnagögn | Numerical Data'!$1:$1048576, _xlfn.XMATCH($A255,'Talnagögn | Numerical Data'!$B:$B), _xlfn.XMATCH($B$3,'Talnagögn | Numerical Data'!$1:$1))-1</f>
        <v>-0.48111276491894084</v>
      </c>
      <c r="J255" s="525" cm="1">
        <f t="array" ref="J255">INDEX('Talnagögn | Numerical Data'!$1:$1048576, _xlfn.XMATCH($A255,'Talnagögn | Numerical Data'!$B:$B), _xlfn.XMATCH($A$1,'Talnagögn | Numerical Data'!$1:$1))-INDEX('Talnagögn | Numerical Data'!$1:$1048576, _xlfn.XMATCH($A255,'Talnagögn | Numerical Data'!$B:$B), _xlfn.XMATCH($B$2,'Talnagögn | Numerical Data'!$1:$1))</f>
        <v>-36.550577022157086</v>
      </c>
      <c r="K255" s="450" cm="1">
        <f t="array" ref="K255">INDEX('Talnagögn | Numerical Data'!$1:$1048576, _xlfn.XMATCH($A255,'Talnagögn | Numerical Data'!$B:$B), _xlfn.XMATCH($A$1,'Talnagögn | Numerical Data'!$1:$1))/INDEX('Talnagögn | Numerical Data'!$1:$1048576, _xlfn.XMATCH($A255,'Talnagögn | Numerical Data'!$B:$B), _xlfn.XMATCH($B$2,'Talnagögn | Numerical Data'!$1:$1))-1</f>
        <v>-0.71711509776429971</v>
      </c>
      <c r="L255" s="525" cm="1">
        <f t="array" ref="L255">INDEX('Talnagögn | Numerical Data'!$1:$1048576, _xlfn.XMATCH($A255,'Talnagögn | Numerical Data'!$B:$B), _xlfn.XMATCH($A$1,'Talnagögn | Numerical Data'!$1:$1))-INDEX('Talnagögn | Numerical Data'!$1:$1048576, _xlfn.XMATCH($A255,'Talnagögn | Numerical Data'!$B:$B), _xlfn.XMATCH($B$1,'Talnagögn | Numerical Data'!$1:$1))</f>
        <v>-35.923868191460315</v>
      </c>
      <c r="M255" s="443" cm="1">
        <f t="array" ref="M255">INDEX('Talnagögn | Numerical Data'!$1:$1048576, _xlfn.XMATCH($A255,'Talnagögn | Numerical Data'!$B:$B), _xlfn.XMATCH($A$1,'Talnagögn | Numerical Data'!$1:$1))/INDEX('Talnagögn | Numerical Data'!$1:$1048576, _xlfn.XMATCH($A255,'Talnagögn | Numerical Data'!$B:$B), _xlfn.XMATCH($B$1,'Talnagögn | Numerical Data'!$1:$1))-1</f>
        <v>-0.71359347074655999</v>
      </c>
      <c r="N255" s="178"/>
      <c r="O255" s="442" t="str">
        <f>'Talnagögn | Numerical Data'!$E$66</f>
        <v>Önnur losun</v>
      </c>
      <c r="P255" s="525" cm="1">
        <f t="array" ref="P255">INDEX('Talnagögn | Numerical Data'!$1:$1048576,_xlfn.XMATCH($B255,'Talnagögn | Numerical Data'!$C:$C),_xlfn.XMATCH($B$4,'Talnagögn | Numerical Data'!$1:$1))-INDEX('Talnagögn | Numerical Data'!$1:$1048576,_xlfn.XMATCH($A255,'Talnagögn | Numerical Data'!$B:$B),_xlfn.XMATCH($B$2,'Talnagögn | Numerical Data'!$1:$1))</f>
        <v>-33.070355139694129</v>
      </c>
      <c r="Q255" s="450" cm="1">
        <f t="array" ref="Q255">INDEX('Talnagögn | Numerical Data'!$1:$1048576,_xlfn.XMATCH($B255,'Talnagögn | Numerical Data'!$C:$C),_xlfn.XMATCH($B$4,'Talnagögn | Numerical Data'!$1:$1))/INDEX('Talnagögn | Numerical Data'!$1:$1048576,_xlfn.XMATCH($A255,'Talnagögn | Numerical Data'!$B:$B),_xlfn.XMATCH($B$2,'Talnagögn | Numerical Data'!$1:$1))-1</f>
        <v>-0.64883383221899904</v>
      </c>
      <c r="R255" s="525" cm="1">
        <f t="array" ref="R255">INDEX('Talnagögn | Numerical Data'!$1:$1048576,_xlfn.XMATCH($B255,'Talnagögn | Numerical Data'!$C:$C),_xlfn.XMATCH($B$5,'Talnagögn | Numerical Data'!$1:$1))-INDEX('Talnagögn | Numerical Data'!$1:$1048576,_xlfn.XMATCH($A255,'Talnagögn | Numerical Data'!$B:$B),_xlfn.XMATCH($B$1,'Talnagögn | Numerical Data'!$1:$1))</f>
        <v>-33.823526045825361</v>
      </c>
      <c r="S255" s="443" cm="1">
        <f t="array" ref="S255">INDEX('Talnagögn | Numerical Data'!$1:$1048576,_xlfn.XMATCH($B255,'Talnagögn | Numerical Data'!$C:$C),_xlfn.XMATCH($B$5,'Talnagögn | Numerical Data'!$1:$1))/INDEX('Talnagögn | Numerical Data'!$1:$1048576,_xlfn.XMATCH($A255,'Talnagögn | Numerical Data'!$B:$B),_xlfn.XMATCH($B$1,'Talnagögn | Numerical Data'!$1:$1))-1</f>
        <v>-0.67187217187442982</v>
      </c>
      <c r="V255" s="408"/>
      <c r="X255" s="122"/>
      <c r="Y255" s="442" t="str">
        <f>'Talnagögn | Numerical Data'!$G$66</f>
        <v>Other Emissions</v>
      </c>
      <c r="Z255" s="525" cm="1">
        <f t="array" ref="Z255">INDEX('Talnagögn | Numerical Data'!$1:$1048576, _xlfn.XMATCH($A255,'Talnagögn | Numerical Data'!$B:$B), _xlfn.XMATCH($A$1,'Talnagögn | Numerical Data'!$1:$1))</f>
        <v>14.418335968391148</v>
      </c>
      <c r="AA255" s="910">
        <f t="shared" si="3"/>
        <v>7.9921468253404352E-3</v>
      </c>
      <c r="AB255" s="525" cm="1">
        <f t="array" ref="AB255">INDEX('Talnagögn | Numerical Data'!$1:$1048576, _xlfn.XMATCH($A255,'Talnagögn | Numerical Data'!$B:$B), _xlfn.XMATCH($A$1,'Talnagögn | Numerical Data'!$1:$1))-INDEX('Talnagögn | Numerical Data'!$1:$1048576, _xlfn.XMATCH($A255,'Talnagögn | Numerical Data'!$B:$B), _xlfn.XMATCH($B$3,'Talnagögn | Numerical Data'!$1:$1))</f>
        <v>-13.36869557448108</v>
      </c>
      <c r="AC255" s="450" cm="1">
        <f t="array" ref="AC255">INDEX('Talnagögn | Numerical Data'!$1:$1048576, _xlfn.XMATCH($A255,'Talnagögn | Numerical Data'!$B:$B), _xlfn.XMATCH($A$1,'Talnagögn | Numerical Data'!$1:$1))/INDEX('Talnagögn | Numerical Data'!$1:$1048576, _xlfn.XMATCH($A255,'Talnagögn | Numerical Data'!$B:$B), _xlfn.XMATCH($B$3,'Talnagögn | Numerical Data'!$1:$1))-1</f>
        <v>-0.48111276491894084</v>
      </c>
      <c r="AD255" s="525" cm="1">
        <f t="array" ref="AD255">INDEX('Talnagögn | Numerical Data'!$1:$1048576, _xlfn.XMATCH($A255,'Talnagögn | Numerical Data'!$B:$B), _xlfn.XMATCH($A$1,'Talnagögn | Numerical Data'!$1:$1))-INDEX('Talnagögn | Numerical Data'!$1:$1048576, _xlfn.XMATCH($A255,'Talnagögn | Numerical Data'!$B:$B), _xlfn.XMATCH($B$2,'Talnagögn | Numerical Data'!$1:$1))</f>
        <v>-36.550577022157086</v>
      </c>
      <c r="AE255" s="450" cm="1">
        <f t="array" ref="AE255">INDEX('Talnagögn | Numerical Data'!$1:$1048576, _xlfn.XMATCH($A255,'Talnagögn | Numerical Data'!$B:$B), _xlfn.XMATCH($A$1,'Talnagögn | Numerical Data'!$1:$1))/INDEX('Talnagögn | Numerical Data'!$1:$1048576, _xlfn.XMATCH($A255,'Talnagögn | Numerical Data'!$B:$B), _xlfn.XMATCH($B$2,'Talnagögn | Numerical Data'!$1:$1))-1</f>
        <v>-0.71711509776429971</v>
      </c>
      <c r="AF255" s="525" cm="1">
        <f t="array" ref="AF255">INDEX('Talnagögn | Numerical Data'!$1:$1048576, _xlfn.XMATCH($A255,'Talnagögn | Numerical Data'!$B:$B), _xlfn.XMATCH($A$1,'Talnagögn | Numerical Data'!$1:$1))-INDEX('Talnagögn | Numerical Data'!$1:$1048576, _xlfn.XMATCH($A255,'Talnagögn | Numerical Data'!$B:$B), _xlfn.XMATCH($B$1,'Talnagögn | Numerical Data'!$1:$1))</f>
        <v>-35.923868191460315</v>
      </c>
      <c r="AG255" s="443" cm="1">
        <f t="array" ref="AG255">INDEX('Talnagögn | Numerical Data'!$1:$1048576, _xlfn.XMATCH($A255,'Talnagögn | Numerical Data'!$B:$B), _xlfn.XMATCH($A$1,'Talnagögn | Numerical Data'!$1:$1))/INDEX('Talnagögn | Numerical Data'!$1:$1048576, _xlfn.XMATCH($A255,'Talnagögn | Numerical Data'!$B:$B), _xlfn.XMATCH($B$1,'Talnagögn | Numerical Data'!$1:$1))-1</f>
        <v>-0.71359347074655999</v>
      </c>
      <c r="AH255" s="178"/>
      <c r="AI255" s="442" t="str">
        <f>'Talnagögn | Numerical Data'!$G$66</f>
        <v>Other Emissions</v>
      </c>
      <c r="AJ255" s="525" cm="1">
        <f t="array" ref="AJ255">INDEX('Talnagögn | Numerical Data'!$1:$1048576,_xlfn.XMATCH($B255,'Talnagögn | Numerical Data'!$C:$C),_xlfn.XMATCH($B$4,'Talnagögn | Numerical Data'!$1:$1))-INDEX('Talnagögn | Numerical Data'!$1:$1048576,_xlfn.XMATCH($A255,'Talnagögn | Numerical Data'!$B:$B),_xlfn.XMATCH($B$2,'Talnagögn | Numerical Data'!$1:$1))</f>
        <v>-33.070355139694129</v>
      </c>
      <c r="AK255" s="450" cm="1">
        <f t="array" ref="AK255">INDEX('Talnagögn | Numerical Data'!$1:$1048576,_xlfn.XMATCH($B255,'Talnagögn | Numerical Data'!$C:$C),_xlfn.XMATCH($B$4,'Talnagögn | Numerical Data'!$1:$1))/INDEX('Talnagögn | Numerical Data'!$1:$1048576,_xlfn.XMATCH($A255,'Talnagögn | Numerical Data'!$B:$B),_xlfn.XMATCH($B$2,'Talnagögn | Numerical Data'!$1:$1))-1</f>
        <v>-0.64883383221899904</v>
      </c>
      <c r="AL255" s="525" cm="1">
        <f t="array" ref="AL255">INDEX('Talnagögn | Numerical Data'!$1:$1048576,_xlfn.XMATCH($B255,'Talnagögn | Numerical Data'!$C:$C),_xlfn.XMATCH($B$5,'Talnagögn | Numerical Data'!$1:$1))-INDEX('Talnagögn | Numerical Data'!$1:$1048576,_xlfn.XMATCH($A255,'Talnagögn | Numerical Data'!$B:$B),_xlfn.XMATCH($B$1,'Talnagögn | Numerical Data'!$1:$1))</f>
        <v>-33.823526045825361</v>
      </c>
      <c r="AM255" s="443" cm="1">
        <f t="array" ref="AM255">INDEX('Talnagögn | Numerical Data'!$1:$1048576,_xlfn.XMATCH($B255,'Talnagögn | Numerical Data'!$C:$C),_xlfn.XMATCH($B$5,'Talnagögn | Numerical Data'!$1:$1))/INDEX('Talnagögn | Numerical Data'!$1:$1048576,_xlfn.XMATCH($A255,'Talnagögn | Numerical Data'!$B:$B),_xlfn.XMATCH($B$1,'Talnagögn | Numerical Data'!$1:$1))-1</f>
        <v>-0.67187217187442982</v>
      </c>
    </row>
    <row r="256" spans="1:45" ht="30" customHeight="1" x14ac:dyDescent="0.4">
      <c r="A256" s="130" t="s">
        <v>38</v>
      </c>
      <c r="B256" s="645" t="s">
        <v>221</v>
      </c>
      <c r="C256" s="645" t="s">
        <v>228</v>
      </c>
      <c r="D256" s="131" t="s">
        <v>44</v>
      </c>
      <c r="E256" s="1316" t="s">
        <v>12</v>
      </c>
      <c r="F256" s="526" cm="1">
        <f t="array" ref="F256">INDEX('Talnagögn | Numerical Data'!$1:$1048576, _xlfn.XMATCH($A256,'Talnagögn | Numerical Data'!$B:$B), _xlfn.XMATCH($A$1,'Talnagögn | Numerical Data'!$1:$1))</f>
        <v>1804.0629487280448</v>
      </c>
      <c r="G256" s="449">
        <f t="shared" si="2"/>
        <v>1</v>
      </c>
      <c r="H256" s="526" cm="1">
        <f t="array" ref="H256">INDEX('Talnagögn | Numerical Data'!$1:$1048576, _xlfn.XMATCH($A256,'Talnagögn | Numerical Data'!$B:$B), _xlfn.XMATCH($A$1,'Talnagögn | Numerical Data'!$1:$1))-INDEX('Talnagögn | Numerical Data'!$1:$1048576, _xlfn.XMATCH($A256,'Talnagögn | Numerical Data'!$B:$B), _xlfn.XMATCH($B$3,'Talnagögn | Numerical Data'!$1:$1))</f>
        <v>-62.417350175189085</v>
      </c>
      <c r="I256" s="444" cm="1">
        <f t="array" ref="I256">INDEX('Talnagögn | Numerical Data'!$1:$1048576, _xlfn.XMATCH($A256,'Talnagögn | Numerical Data'!$B:$B), _xlfn.XMATCH($A$1,'Talnagögn | Numerical Data'!$1:$1))/INDEX('Talnagögn | Numerical Data'!$1:$1048576, _xlfn.XMATCH($A256,'Talnagögn | Numerical Data'!$B:$B), _xlfn.XMATCH($B$3,'Talnagögn | Numerical Data'!$1:$1))-1</f>
        <v>-3.3441204930942048E-2</v>
      </c>
      <c r="J256" s="526" cm="1">
        <f t="array" ref="J256">INDEX('Talnagögn | Numerical Data'!$1:$1048576, _xlfn.XMATCH($A256,'Talnagögn | Numerical Data'!$B:$B), _xlfn.XMATCH($A$1,'Talnagögn | Numerical Data'!$1:$1))-INDEX('Talnagögn | Numerical Data'!$1:$1048576, _xlfn.XMATCH($A256,'Talnagögn | Numerical Data'!$B:$B), _xlfn.XMATCH($B$2,'Talnagögn | Numerical Data'!$1:$1))</f>
        <v>-352.27133380126816</v>
      </c>
      <c r="K256" s="449" cm="1">
        <f t="array" ref="K256">INDEX('Talnagögn | Numerical Data'!$1:$1048576, _xlfn.XMATCH($A256,'Talnagögn | Numerical Data'!$B:$B), _xlfn.XMATCH($A$1,'Talnagögn | Numerical Data'!$1:$1))/INDEX('Talnagögn | Numerical Data'!$1:$1048576, _xlfn.XMATCH($A256,'Talnagögn | Numerical Data'!$B:$B), _xlfn.XMATCH($B$2,'Talnagögn | Numerical Data'!$1:$1))-1</f>
        <v>-0.16336582720748882</v>
      </c>
      <c r="L256" s="526" cm="1">
        <f t="array" ref="L256">INDEX('Talnagögn | Numerical Data'!$1:$1048576, _xlfn.XMATCH($A256,'Talnagögn | Numerical Data'!$B:$B), _xlfn.XMATCH($A$1,'Talnagögn | Numerical Data'!$1:$1))-INDEX('Talnagögn | Numerical Data'!$1:$1048576, _xlfn.XMATCH($A256,'Talnagögn | Numerical Data'!$B:$B), _xlfn.XMATCH($B$1,'Talnagögn | Numerical Data'!$1:$1))</f>
        <v>-36.503890116164257</v>
      </c>
      <c r="M256" s="453" cm="1">
        <f t="array" ref="M256">INDEX('Talnagögn | Numerical Data'!$1:$1048576, _xlfn.XMATCH($A256,'Talnagögn | Numerical Data'!$B:$B), _xlfn.XMATCH($A$1,'Talnagögn | Numerical Data'!$1:$1))/INDEX('Talnagögn | Numerical Data'!$1:$1048576, _xlfn.XMATCH($A256,'Talnagögn | Numerical Data'!$B:$B), _xlfn.XMATCH($B$1,'Talnagögn | Numerical Data'!$1:$1))-1</f>
        <v>-1.9832960882358974E-2</v>
      </c>
      <c r="N256" s="178"/>
      <c r="O256" s="454" t="s">
        <v>12</v>
      </c>
      <c r="P256" s="526" cm="1">
        <f t="array" ref="P256">INDEX('Talnagögn | Numerical Data'!$1:$1048576,_xlfn.XMATCH($B256,'Talnagögn | Numerical Data'!$C:$C),_xlfn.XMATCH($B$4,'Talnagögn | Numerical Data'!$1:$1))-INDEX('Talnagögn | Numerical Data'!$1:$1048576,_xlfn.XMATCH($A256,'Talnagögn | Numerical Data'!$B:$B),_xlfn.XMATCH($B$2,'Talnagögn | Numerical Data'!$1:$1))</f>
        <v>-540.39631467036611</v>
      </c>
      <c r="Q256" s="449" cm="1">
        <f t="array" ref="Q256">INDEX('Talnagögn | Numerical Data'!$1:$1048576,_xlfn.XMATCH($B256,'Talnagögn | Numerical Data'!$C:$C),_xlfn.XMATCH($B$4,'Talnagögn | Numerical Data'!$1:$1))/INDEX('Talnagögn | Numerical Data'!$1:$1048576,_xlfn.XMATCH($A256,'Talnagögn | Numerical Data'!$B:$B),_xlfn.XMATCH($B$2,'Talnagögn | Numerical Data'!$1:$1))-1</f>
        <v>-0.25060878503331963</v>
      </c>
      <c r="R256" s="526" cm="1">
        <f t="array" ref="R256">INDEX('Talnagögn | Numerical Data'!$1:$1048576,_xlfn.XMATCH($B256,'Talnagögn | Numerical Data'!$C:$C),_xlfn.XMATCH($B$5,'Talnagögn | Numerical Data'!$1:$1))-INDEX('Talnagögn | Numerical Data'!$1:$1048576,_xlfn.XMATCH($A256,'Talnagögn | Numerical Data'!$B:$B),_xlfn.XMATCH($B$1,'Talnagögn | Numerical Data'!$1:$1))</f>
        <v>-1395.6456518897699</v>
      </c>
      <c r="S256" s="452" cm="1">
        <f t="array" ref="S256">INDEX('Talnagögn | Numerical Data'!$1:$1048576,_xlfn.XMATCH($B256,'Talnagögn | Numerical Data'!$C:$C),_xlfn.XMATCH($B$5,'Talnagögn | Numerical Data'!$1:$1))/INDEX('Talnagögn | Numerical Data'!$1:$1048576,_xlfn.XMATCH($A256,'Talnagögn | Numerical Data'!$B:$B),_xlfn.XMATCH($B$1,'Talnagögn | Numerical Data'!$1:$1))-1</f>
        <v>-0.75826947570465353</v>
      </c>
      <c r="T256" s="5"/>
      <c r="U256" s="5"/>
      <c r="V256" s="162"/>
      <c r="Y256" s="1316" t="s">
        <v>145</v>
      </c>
      <c r="Z256" s="526" cm="1">
        <f t="array" ref="Z256">INDEX('Talnagögn | Numerical Data'!$1:$1048576, _xlfn.XMATCH($A256,'Talnagögn | Numerical Data'!$B:$B), _xlfn.XMATCH($A$1,'Talnagögn | Numerical Data'!$1:$1))</f>
        <v>1804.0629487280448</v>
      </c>
      <c r="AA256" s="449">
        <f t="shared" si="3"/>
        <v>1</v>
      </c>
      <c r="AB256" s="526" cm="1">
        <f t="array" ref="AB256">INDEX('Talnagögn | Numerical Data'!$1:$1048576, _xlfn.XMATCH($A256,'Talnagögn | Numerical Data'!$B:$B), _xlfn.XMATCH($A$1,'Talnagögn | Numerical Data'!$1:$1))-INDEX('Talnagögn | Numerical Data'!$1:$1048576, _xlfn.XMATCH($A256,'Talnagögn | Numerical Data'!$B:$B), _xlfn.XMATCH($B$3,'Talnagögn | Numerical Data'!$1:$1))</f>
        <v>-62.417350175189085</v>
      </c>
      <c r="AC256" s="444" cm="1">
        <f t="array" ref="AC256">INDEX('Talnagögn | Numerical Data'!$1:$1048576, _xlfn.XMATCH($A256,'Talnagögn | Numerical Data'!$B:$B), _xlfn.XMATCH($A$1,'Talnagögn | Numerical Data'!$1:$1))/INDEX('Talnagögn | Numerical Data'!$1:$1048576, _xlfn.XMATCH($A256,'Talnagögn | Numerical Data'!$B:$B), _xlfn.XMATCH($B$3,'Talnagögn | Numerical Data'!$1:$1))-1</f>
        <v>-3.3441204930942048E-2</v>
      </c>
      <c r="AD256" s="526" cm="1">
        <f t="array" ref="AD256">INDEX('Talnagögn | Numerical Data'!$1:$1048576, _xlfn.XMATCH($A256,'Talnagögn | Numerical Data'!$B:$B), _xlfn.XMATCH($A$1,'Talnagögn | Numerical Data'!$1:$1))-INDEX('Talnagögn | Numerical Data'!$1:$1048576, _xlfn.XMATCH($A256,'Talnagögn | Numerical Data'!$B:$B), _xlfn.XMATCH($B$2,'Talnagögn | Numerical Data'!$1:$1))</f>
        <v>-352.27133380126816</v>
      </c>
      <c r="AE256" s="449" cm="1">
        <f t="array" ref="AE256">INDEX('Talnagögn | Numerical Data'!$1:$1048576, _xlfn.XMATCH($A256,'Talnagögn | Numerical Data'!$B:$B), _xlfn.XMATCH($A$1,'Talnagögn | Numerical Data'!$1:$1))/INDEX('Talnagögn | Numerical Data'!$1:$1048576, _xlfn.XMATCH($A256,'Talnagögn | Numerical Data'!$B:$B), _xlfn.XMATCH($B$2,'Talnagögn | Numerical Data'!$1:$1))-1</f>
        <v>-0.16336582720748882</v>
      </c>
      <c r="AF256" s="526" cm="1">
        <f t="array" ref="AF256">INDEX('Talnagögn | Numerical Data'!$1:$1048576, _xlfn.XMATCH($A256,'Talnagögn | Numerical Data'!$B:$B), _xlfn.XMATCH($A$1,'Talnagögn | Numerical Data'!$1:$1))-INDEX('Talnagögn | Numerical Data'!$1:$1048576, _xlfn.XMATCH($A256,'Talnagögn | Numerical Data'!$B:$B), _xlfn.XMATCH($B$1,'Talnagögn | Numerical Data'!$1:$1))</f>
        <v>-36.503890116164257</v>
      </c>
      <c r="AG256" s="453" cm="1">
        <f t="array" ref="AG256">INDEX('Talnagögn | Numerical Data'!$1:$1048576, _xlfn.XMATCH($A256,'Talnagögn | Numerical Data'!$B:$B), _xlfn.XMATCH($A$1,'Talnagögn | Numerical Data'!$1:$1))/INDEX('Talnagögn | Numerical Data'!$1:$1048576, _xlfn.XMATCH($A256,'Talnagögn | Numerical Data'!$B:$B), _xlfn.XMATCH($B$1,'Talnagögn | Numerical Data'!$1:$1))-1</f>
        <v>-1.9832960882358974E-2</v>
      </c>
      <c r="AH256" s="178"/>
      <c r="AI256" s="1316" t="s">
        <v>12</v>
      </c>
      <c r="AJ256" s="526" cm="1">
        <f t="array" ref="AJ256">INDEX('Talnagögn | Numerical Data'!$1:$1048576,_xlfn.XMATCH($B256,'Talnagögn | Numerical Data'!$C:$C),_xlfn.XMATCH($B$4,'Talnagögn | Numerical Data'!$1:$1))-INDEX('Talnagögn | Numerical Data'!$1:$1048576,_xlfn.XMATCH($A256,'Talnagögn | Numerical Data'!$B:$B),_xlfn.XMATCH($B$2,'Talnagögn | Numerical Data'!$1:$1))</f>
        <v>-540.39631467036611</v>
      </c>
      <c r="AK256" s="449" cm="1">
        <f t="array" ref="AK256">INDEX('Talnagögn | Numerical Data'!$1:$1048576,_xlfn.XMATCH($B256,'Talnagögn | Numerical Data'!$C:$C),_xlfn.XMATCH($B$4,'Talnagögn | Numerical Data'!$1:$1))/INDEX('Talnagögn | Numerical Data'!$1:$1048576,_xlfn.XMATCH($A256,'Talnagögn | Numerical Data'!$B:$B),_xlfn.XMATCH($B$2,'Talnagögn | Numerical Data'!$1:$1))-1</f>
        <v>-0.25060878503331963</v>
      </c>
      <c r="AL256" s="526" cm="1">
        <f t="array" ref="AL256">INDEX('Talnagögn | Numerical Data'!$1:$1048576,_xlfn.XMATCH($B256,'Talnagögn | Numerical Data'!$C:$C),_xlfn.XMATCH($B$5,'Talnagögn | Numerical Data'!$1:$1))-INDEX('Talnagögn | Numerical Data'!$1:$1048576,_xlfn.XMATCH($A256,'Talnagögn | Numerical Data'!$B:$B),_xlfn.XMATCH($B$1,'Talnagögn | Numerical Data'!$1:$1))</f>
        <v>-1395.6456518897699</v>
      </c>
      <c r="AM256" s="452" cm="1">
        <f t="array" ref="AM256">INDEX('Talnagögn | Numerical Data'!$1:$1048576,_xlfn.XMATCH($B256,'Talnagögn | Numerical Data'!$C:$C),_xlfn.XMATCH($B$5,'Talnagögn | Numerical Data'!$1:$1))/INDEX('Talnagögn | Numerical Data'!$1:$1048576,_xlfn.XMATCH($A256,'Talnagögn | Numerical Data'!$B:$B),_xlfn.XMATCH($B$1,'Talnagögn | Numerical Data'!$1:$1))-1</f>
        <v>-0.75826947570465353</v>
      </c>
      <c r="AN256" s="5"/>
      <c r="AO256" s="5"/>
      <c r="AP256" s="5"/>
      <c r="AQ256" s="5"/>
      <c r="AR256" s="5"/>
      <c r="AS256" s="5"/>
    </row>
    <row r="257" spans="1:45" s="21" customFormat="1" ht="15.6" customHeight="1" x14ac:dyDescent="0.4">
      <c r="A257" s="632" t="str">
        <f>"ORKA "&amp;$A$1</f>
        <v>ORKA 2025</v>
      </c>
      <c r="B257" s="632" t="str">
        <f>"ENERGY "&amp;$A$1</f>
        <v>ENERGY 2025</v>
      </c>
      <c r="C257" s="648" t="s">
        <v>44</v>
      </c>
      <c r="D257" s="131" t="s">
        <v>44</v>
      </c>
      <c r="E257" s="132"/>
      <c r="F257" s="115"/>
      <c r="G257" s="115"/>
      <c r="H257" s="115"/>
      <c r="I257" s="115"/>
      <c r="J257" s="115"/>
      <c r="K257" s="115"/>
      <c r="L257" s="115"/>
      <c r="M257" s="115"/>
      <c r="N257" s="178"/>
      <c r="O257" s="115"/>
      <c r="P257" s="115"/>
      <c r="Q257" s="115"/>
      <c r="R257" s="1404"/>
      <c r="S257" s="1404"/>
      <c r="T257" s="115"/>
      <c r="U257" s="115"/>
      <c r="V257" s="414"/>
      <c r="W257" s="120"/>
      <c r="X257" s="122"/>
      <c r="Y257" s="120"/>
      <c r="Z257" s="396"/>
      <c r="AA257" s="396"/>
      <c r="AB257" s="396"/>
      <c r="AC257" s="398"/>
      <c r="AD257" s="178"/>
      <c r="AE257" s="178"/>
      <c r="AF257" s="178"/>
      <c r="AG257" s="178"/>
      <c r="AH257" s="178"/>
      <c r="AI257" s="178"/>
      <c r="AJ257" s="178"/>
      <c r="AK257" s="178"/>
      <c r="AL257" s="178"/>
      <c r="AM257" s="178"/>
      <c r="AN257" s="178"/>
      <c r="AO257" s="178"/>
      <c r="AP257" s="178"/>
      <c r="AQ257" s="178"/>
      <c r="AR257" s="178"/>
      <c r="AS257" s="178"/>
    </row>
    <row r="258" spans="1:45" s="21" customFormat="1" ht="13.5" customHeight="1" x14ac:dyDescent="0.4">
      <c r="A258" s="27"/>
      <c r="B258" s="648"/>
      <c r="C258" s="648"/>
      <c r="D258" s="131" t="s">
        <v>44</v>
      </c>
      <c r="E258" s="132"/>
      <c r="F258" s="115"/>
      <c r="G258" s="115"/>
      <c r="H258" s="115"/>
      <c r="I258" s="115"/>
      <c r="J258" s="115"/>
      <c r="K258" s="115"/>
      <c r="L258" s="115"/>
      <c r="M258" s="115"/>
      <c r="N258" s="178"/>
      <c r="O258" s="115"/>
      <c r="P258" s="115"/>
      <c r="Q258" s="115"/>
      <c r="R258" s="1404"/>
      <c r="S258" s="1404"/>
      <c r="T258" s="115"/>
      <c r="U258" s="115"/>
      <c r="V258" s="414"/>
      <c r="W258" s="120"/>
      <c r="X258" s="122"/>
      <c r="Y258" s="120"/>
      <c r="Z258" s="396"/>
      <c r="AA258" s="396"/>
      <c r="AB258" s="396"/>
      <c r="AC258" s="398"/>
      <c r="AD258" s="178"/>
      <c r="AE258" s="178"/>
      <c r="AF258" s="178"/>
      <c r="AG258" s="178"/>
      <c r="AH258" s="178"/>
      <c r="AI258" s="178"/>
      <c r="AJ258" s="178"/>
      <c r="AK258" s="178"/>
      <c r="AL258" s="178"/>
      <c r="AM258" s="178"/>
      <c r="AN258" s="178"/>
      <c r="AO258" s="178"/>
      <c r="AP258" s="178"/>
      <c r="AQ258" s="178"/>
      <c r="AR258" s="178"/>
      <c r="AS258" s="178"/>
    </row>
    <row r="259" spans="1:45" s="21" customFormat="1" ht="13.5" customHeight="1" x14ac:dyDescent="0.4">
      <c r="A259" s="27"/>
      <c r="B259" s="648"/>
      <c r="C259" s="648"/>
      <c r="D259" s="131" t="s">
        <v>44</v>
      </c>
      <c r="E259" s="132"/>
      <c r="F259" s="115"/>
      <c r="G259" s="115"/>
      <c r="H259" s="115"/>
      <c r="I259" s="115"/>
      <c r="J259" s="115"/>
      <c r="K259" s="115"/>
      <c r="L259" s="115"/>
      <c r="M259" s="115"/>
      <c r="N259" s="115"/>
      <c r="O259" s="115"/>
      <c r="P259" s="115"/>
      <c r="Q259" s="115"/>
      <c r="R259" s="178"/>
      <c r="S259" s="178"/>
      <c r="T259" s="115"/>
      <c r="U259" s="115"/>
      <c r="V259" s="414"/>
      <c r="W259" s="120"/>
      <c r="Y259" s="120"/>
      <c r="Z259" s="396"/>
      <c r="AA259" s="396"/>
      <c r="AB259" s="396"/>
      <c r="AC259" s="398"/>
      <c r="AD259" s="178"/>
      <c r="AE259" s="178"/>
      <c r="AF259" s="178"/>
      <c r="AG259" s="178"/>
      <c r="AH259" s="178"/>
      <c r="AI259" s="178"/>
      <c r="AJ259" s="178"/>
      <c r="AK259" s="178"/>
      <c r="AL259" s="178"/>
      <c r="AM259" s="178"/>
      <c r="AN259" s="178"/>
      <c r="AO259" s="178"/>
      <c r="AP259" s="178"/>
      <c r="AQ259" s="178"/>
      <c r="AR259" s="178"/>
      <c r="AS259" s="178"/>
    </row>
    <row r="260" spans="1:45" s="21" customFormat="1" ht="13.5" customHeight="1" x14ac:dyDescent="0.4">
      <c r="A260" s="27"/>
      <c r="B260" s="648"/>
      <c r="C260" s="648"/>
      <c r="D260" s="131" t="s">
        <v>44</v>
      </c>
      <c r="E260" s="132"/>
      <c r="F260" s="115"/>
      <c r="G260" s="115"/>
      <c r="H260" s="115"/>
      <c r="I260" s="115"/>
      <c r="J260" s="115"/>
      <c r="K260" s="115"/>
      <c r="L260" s="115"/>
      <c r="M260" s="115"/>
      <c r="N260" s="115"/>
      <c r="O260" s="115"/>
      <c r="P260" s="115"/>
      <c r="Q260" s="115"/>
      <c r="R260" s="1404"/>
      <c r="S260" s="1404"/>
      <c r="T260" s="115"/>
      <c r="U260" s="115"/>
      <c r="V260" s="414"/>
      <c r="W260" s="120"/>
      <c r="X260" s="122"/>
      <c r="Y260" s="120"/>
      <c r="Z260" s="396"/>
      <c r="AA260" s="396"/>
      <c r="AB260" s="396"/>
      <c r="AC260" s="398"/>
      <c r="AD260" s="178"/>
      <c r="AE260" s="178"/>
      <c r="AF260" s="178"/>
      <c r="AG260" s="178"/>
      <c r="AH260" s="178"/>
      <c r="AI260" s="178"/>
      <c r="AJ260" s="178"/>
      <c r="AK260" s="178"/>
      <c r="AL260" s="178"/>
      <c r="AM260" s="178"/>
      <c r="AN260" s="178"/>
      <c r="AO260" s="178"/>
      <c r="AP260" s="178"/>
      <c r="AQ260" s="178"/>
      <c r="AR260" s="178"/>
      <c r="AS260" s="178"/>
    </row>
    <row r="261" spans="1:45" s="21" customFormat="1" ht="13.5" customHeight="1" x14ac:dyDescent="0.4">
      <c r="A261" s="27"/>
      <c r="B261" s="648"/>
      <c r="C261" s="648"/>
      <c r="D261" s="131" t="s">
        <v>44</v>
      </c>
      <c r="E261" s="132"/>
      <c r="F261" s="115"/>
      <c r="G261" s="115"/>
      <c r="H261" s="115"/>
      <c r="I261" s="115"/>
      <c r="J261" s="115"/>
      <c r="K261" s="115"/>
      <c r="L261" s="115"/>
      <c r="M261" s="115"/>
      <c r="N261" s="115"/>
      <c r="O261" s="115"/>
      <c r="P261" s="115"/>
      <c r="Q261" s="115"/>
      <c r="R261" s="1404"/>
      <c r="S261" s="1404"/>
      <c r="T261" s="115"/>
      <c r="U261" s="115"/>
      <c r="V261" s="414"/>
      <c r="W261" s="120"/>
      <c r="X261" s="122"/>
      <c r="Y261" s="120"/>
      <c r="Z261" s="396"/>
      <c r="AA261" s="396"/>
      <c r="AB261" s="396"/>
      <c r="AC261" s="398"/>
      <c r="AD261" s="178"/>
      <c r="AE261" s="178"/>
      <c r="AF261" s="178"/>
      <c r="AG261" s="178"/>
      <c r="AH261" s="178"/>
      <c r="AI261" s="178"/>
      <c r="AJ261" s="178"/>
      <c r="AK261" s="178"/>
      <c r="AL261" s="178"/>
      <c r="AM261" s="178"/>
      <c r="AN261" s="178"/>
      <c r="AO261" s="178"/>
      <c r="AP261" s="178"/>
      <c r="AQ261" s="178"/>
      <c r="AR261" s="178"/>
      <c r="AS261" s="178"/>
    </row>
    <row r="262" spans="1:45" s="21" customFormat="1" ht="13.5" customHeight="1" x14ac:dyDescent="0.4">
      <c r="A262" s="27"/>
      <c r="B262" s="648"/>
      <c r="C262" s="648"/>
      <c r="D262" s="131" t="s">
        <v>44</v>
      </c>
      <c r="E262" s="132"/>
      <c r="F262" s="115"/>
      <c r="G262" s="115"/>
      <c r="H262" s="115"/>
      <c r="I262" s="115"/>
      <c r="J262" s="115"/>
      <c r="K262" s="115"/>
      <c r="L262" s="115"/>
      <c r="M262" s="115"/>
      <c r="N262" s="115"/>
      <c r="O262" s="115"/>
      <c r="P262" s="115"/>
      <c r="Q262" s="115"/>
      <c r="R262" s="1404"/>
      <c r="S262" s="1404"/>
      <c r="T262" s="178"/>
      <c r="U262" s="178"/>
      <c r="V262" s="410"/>
      <c r="Z262" s="178"/>
      <c r="AA262" s="178"/>
      <c r="AB262" s="178"/>
      <c r="AC262" s="178"/>
      <c r="AD262" s="178"/>
      <c r="AE262" s="178"/>
      <c r="AF262" s="178"/>
      <c r="AG262" s="178"/>
      <c r="AH262" s="178"/>
      <c r="AI262" s="178"/>
      <c r="AJ262" s="178"/>
      <c r="AK262" s="178"/>
      <c r="AL262" s="178"/>
      <c r="AM262" s="178"/>
      <c r="AN262" s="178"/>
      <c r="AO262" s="178"/>
      <c r="AP262" s="178"/>
      <c r="AQ262" s="178"/>
      <c r="AR262" s="178"/>
      <c r="AS262" s="178"/>
    </row>
    <row r="263" spans="1:45" s="21" customFormat="1" ht="13.5" customHeight="1" x14ac:dyDescent="0.4">
      <c r="A263" s="27"/>
      <c r="B263" s="648"/>
      <c r="C263" s="648"/>
      <c r="D263" s="131" t="s">
        <v>44</v>
      </c>
      <c r="E263" s="132"/>
      <c r="F263" s="115"/>
      <c r="G263" s="115"/>
      <c r="H263" s="115"/>
      <c r="I263" s="115"/>
      <c r="J263" s="115"/>
      <c r="K263" s="115"/>
      <c r="L263" s="115"/>
      <c r="M263" s="115"/>
      <c r="N263" s="115"/>
      <c r="O263" s="115"/>
      <c r="P263" s="115"/>
      <c r="Q263" s="115"/>
      <c r="R263" s="115"/>
      <c r="S263" s="115"/>
      <c r="T263" s="178"/>
      <c r="U263" s="178"/>
      <c r="V263" s="410"/>
      <c r="Z263" s="178"/>
      <c r="AA263" s="178"/>
      <c r="AB263" s="178"/>
      <c r="AC263" s="178"/>
      <c r="AD263" s="178"/>
      <c r="AE263" s="178"/>
      <c r="AF263" s="178"/>
      <c r="AG263" s="178"/>
      <c r="AH263" s="178"/>
      <c r="AI263" s="178"/>
      <c r="AJ263" s="178"/>
      <c r="AK263" s="178"/>
      <c r="AL263" s="178"/>
      <c r="AM263" s="178"/>
      <c r="AN263" s="178"/>
      <c r="AO263" s="178"/>
      <c r="AP263" s="178"/>
      <c r="AQ263" s="178"/>
      <c r="AR263" s="178"/>
      <c r="AS263" s="178"/>
    </row>
    <row r="264" spans="1:45" s="21" customFormat="1" ht="13.5" customHeight="1" x14ac:dyDescent="0.4">
      <c r="A264" s="27"/>
      <c r="B264" s="645"/>
      <c r="C264" s="645"/>
      <c r="D264" s="131" t="s">
        <v>44</v>
      </c>
      <c r="E264" s="132"/>
      <c r="F264" s="115"/>
      <c r="G264" s="115"/>
      <c r="H264" s="115"/>
      <c r="I264" s="115"/>
      <c r="J264" s="115"/>
      <c r="K264" s="115"/>
      <c r="L264" s="115"/>
      <c r="M264" s="115"/>
      <c r="N264" s="115"/>
      <c r="O264" s="115"/>
      <c r="P264" s="115"/>
      <c r="Q264" s="115"/>
      <c r="R264" s="115"/>
      <c r="S264" s="115"/>
      <c r="T264" s="178"/>
      <c r="U264" s="178"/>
      <c r="V264" s="410"/>
      <c r="Z264" s="178"/>
      <c r="AA264" s="178"/>
      <c r="AB264" s="178"/>
      <c r="AC264" s="178"/>
      <c r="AD264" s="178"/>
      <c r="AE264" s="178"/>
      <c r="AF264" s="178"/>
      <c r="AG264" s="178"/>
      <c r="AH264" s="178"/>
      <c r="AI264" s="178"/>
      <c r="AJ264" s="178"/>
      <c r="AK264" s="178"/>
      <c r="AL264" s="178"/>
      <c r="AM264" s="178"/>
      <c r="AN264" s="178"/>
      <c r="AO264" s="178"/>
      <c r="AP264" s="178"/>
      <c r="AQ264" s="178"/>
      <c r="AR264" s="178"/>
      <c r="AS264" s="178"/>
    </row>
    <row r="265" spans="1:45" s="21" customFormat="1" ht="13.5" customHeight="1" x14ac:dyDescent="0.4">
      <c r="A265" s="27"/>
      <c r="B265" s="645"/>
      <c r="C265" s="645"/>
      <c r="D265" s="131" t="s">
        <v>44</v>
      </c>
      <c r="E265" s="132"/>
      <c r="F265" s="115"/>
      <c r="G265" s="115"/>
      <c r="H265" s="115"/>
      <c r="I265" s="115"/>
      <c r="J265" s="115"/>
      <c r="K265" s="115"/>
      <c r="L265" s="115"/>
      <c r="M265" s="115"/>
      <c r="N265" s="115"/>
      <c r="O265" s="115"/>
      <c r="P265" s="115"/>
      <c r="Q265" s="115"/>
      <c r="R265" s="115"/>
      <c r="S265" s="115"/>
      <c r="T265" s="178"/>
      <c r="U265" s="178"/>
      <c r="V265" s="410"/>
      <c r="Z265" s="178"/>
      <c r="AA265" s="178"/>
      <c r="AB265" s="178"/>
      <c r="AC265" s="178"/>
      <c r="AD265" s="178"/>
      <c r="AE265" s="178"/>
      <c r="AF265" s="178"/>
      <c r="AG265" s="178"/>
      <c r="AH265" s="178"/>
      <c r="AI265" s="178"/>
      <c r="AJ265" s="178"/>
      <c r="AK265" s="178"/>
      <c r="AL265" s="178"/>
      <c r="AM265" s="178"/>
      <c r="AN265" s="178"/>
      <c r="AO265" s="178"/>
      <c r="AP265" s="178"/>
      <c r="AQ265" s="178"/>
      <c r="AR265" s="178"/>
      <c r="AS265" s="178"/>
    </row>
    <row r="266" spans="1:45" s="21" customFormat="1" ht="13.5" customHeight="1" x14ac:dyDescent="0.4">
      <c r="A266" s="27"/>
      <c r="B266" s="645"/>
      <c r="C266" s="645"/>
      <c r="D266" s="131" t="s">
        <v>44</v>
      </c>
      <c r="E266" s="132"/>
      <c r="F266" s="115"/>
      <c r="G266" s="115"/>
      <c r="H266" s="115"/>
      <c r="I266" s="115"/>
      <c r="J266" s="115"/>
      <c r="K266" s="115"/>
      <c r="L266" s="115"/>
      <c r="M266" s="115"/>
      <c r="N266" s="115"/>
      <c r="O266" s="115"/>
      <c r="P266" s="115"/>
      <c r="Q266" s="115"/>
      <c r="R266" s="115"/>
      <c r="S266" s="115"/>
      <c r="T266" s="178"/>
      <c r="U266" s="178"/>
      <c r="V266" s="410"/>
      <c r="Z266" s="178"/>
      <c r="AA266" s="178"/>
      <c r="AB266" s="178"/>
      <c r="AC266" s="178"/>
      <c r="AD266" s="178"/>
      <c r="AE266" s="178"/>
      <c r="AF266" s="178"/>
      <c r="AG266" s="178"/>
      <c r="AH266" s="178"/>
      <c r="AI266" s="178"/>
      <c r="AJ266" s="178"/>
      <c r="AK266" s="178"/>
      <c r="AL266" s="178"/>
      <c r="AM266" s="178"/>
      <c r="AN266" s="178"/>
      <c r="AO266" s="178"/>
      <c r="AP266" s="178"/>
      <c r="AQ266" s="178"/>
      <c r="AR266" s="178"/>
      <c r="AS266" s="178"/>
    </row>
    <row r="267" spans="1:45" s="21" customFormat="1" ht="13.5" customHeight="1" x14ac:dyDescent="0.4">
      <c r="A267" s="27"/>
      <c r="B267" s="645"/>
      <c r="C267" s="645"/>
      <c r="D267" s="131" t="s">
        <v>44</v>
      </c>
      <c r="E267" s="132"/>
      <c r="F267" s="115"/>
      <c r="G267" s="115"/>
      <c r="H267" s="115"/>
      <c r="I267" s="115"/>
      <c r="J267" s="115"/>
      <c r="K267" s="115"/>
      <c r="L267" s="115"/>
      <c r="M267" s="115"/>
      <c r="N267" s="115"/>
      <c r="O267" s="115"/>
      <c r="P267" s="115"/>
      <c r="Q267" s="115"/>
      <c r="R267" s="115"/>
      <c r="S267" s="115"/>
      <c r="T267" s="178"/>
      <c r="U267" s="178"/>
      <c r="V267" s="410"/>
      <c r="Z267" s="178"/>
      <c r="AA267" s="178"/>
      <c r="AB267" s="178"/>
      <c r="AC267" s="178"/>
      <c r="AD267" s="178"/>
      <c r="AE267" s="178"/>
      <c r="AF267" s="178"/>
      <c r="AG267" s="178"/>
      <c r="AH267" s="178"/>
      <c r="AI267" s="178"/>
      <c r="AJ267" s="178"/>
      <c r="AK267" s="178"/>
      <c r="AL267" s="178"/>
      <c r="AM267" s="178"/>
      <c r="AN267" s="178"/>
      <c r="AO267" s="178"/>
      <c r="AP267" s="178"/>
      <c r="AQ267" s="178"/>
      <c r="AR267" s="178"/>
      <c r="AS267" s="178"/>
    </row>
    <row r="268" spans="1:45" s="21" customFormat="1" ht="13.5" customHeight="1" x14ac:dyDescent="0.4">
      <c r="A268" s="27"/>
      <c r="B268" s="645"/>
      <c r="C268" s="645"/>
      <c r="D268" s="131" t="s">
        <v>44</v>
      </c>
      <c r="E268" s="132"/>
      <c r="F268" s="115"/>
      <c r="G268" s="115"/>
      <c r="H268" s="115"/>
      <c r="I268" s="115"/>
      <c r="J268" s="115"/>
      <c r="K268" s="115"/>
      <c r="L268" s="115"/>
      <c r="M268" s="115"/>
      <c r="N268" s="115"/>
      <c r="O268" s="115"/>
      <c r="P268" s="115"/>
      <c r="Q268" s="115"/>
      <c r="R268" s="115"/>
      <c r="S268" s="115"/>
      <c r="T268" s="178"/>
      <c r="U268" s="178"/>
      <c r="V268" s="410"/>
      <c r="Z268" s="178"/>
      <c r="AA268" s="178"/>
      <c r="AB268" s="178"/>
      <c r="AC268" s="178"/>
      <c r="AD268" s="178"/>
      <c r="AE268" s="178"/>
      <c r="AF268" s="178"/>
      <c r="AG268" s="178"/>
      <c r="AH268" s="178"/>
      <c r="AI268" s="178"/>
      <c r="AJ268" s="178"/>
      <c r="AK268" s="178"/>
      <c r="AL268" s="178"/>
      <c r="AM268" s="178"/>
      <c r="AN268" s="178"/>
      <c r="AO268" s="178"/>
      <c r="AP268" s="178"/>
      <c r="AQ268" s="178"/>
      <c r="AR268" s="178"/>
      <c r="AS268" s="178"/>
    </row>
    <row r="269" spans="1:45" s="21" customFormat="1" ht="13.5" customHeight="1" x14ac:dyDescent="0.4">
      <c r="A269" s="27"/>
      <c r="B269" s="648"/>
      <c r="C269" s="648"/>
      <c r="D269" s="131" t="s">
        <v>44</v>
      </c>
      <c r="E269" s="132"/>
      <c r="F269" s="115"/>
      <c r="G269" s="115"/>
      <c r="H269" s="115"/>
      <c r="I269" s="115"/>
      <c r="J269" s="115"/>
      <c r="K269" s="115"/>
      <c r="L269" s="115"/>
      <c r="M269" s="115"/>
      <c r="N269" s="115"/>
      <c r="O269" s="115"/>
      <c r="P269" s="115"/>
      <c r="Q269" s="115"/>
      <c r="R269" s="115"/>
      <c r="S269" s="115"/>
      <c r="T269" s="178"/>
      <c r="U269" s="178"/>
      <c r="V269" s="410"/>
      <c r="Z269" s="178"/>
      <c r="AA269" s="178"/>
      <c r="AB269" s="178"/>
      <c r="AC269" s="178"/>
      <c r="AD269" s="178"/>
      <c r="AE269" s="178"/>
      <c r="AF269" s="178"/>
      <c r="AG269" s="178"/>
      <c r="AH269" s="178"/>
      <c r="AI269" s="178"/>
      <c r="AJ269" s="178"/>
      <c r="AK269" s="178"/>
      <c r="AL269" s="178"/>
      <c r="AM269" s="178"/>
      <c r="AN269" s="178"/>
      <c r="AO269" s="178"/>
      <c r="AP269" s="178"/>
      <c r="AQ269" s="178"/>
      <c r="AR269" s="178"/>
      <c r="AS269" s="178"/>
    </row>
    <row r="270" spans="1:45" s="21" customFormat="1" ht="13.5" customHeight="1" x14ac:dyDescent="0.4">
      <c r="A270" s="27"/>
      <c r="B270" s="648"/>
      <c r="C270" s="648"/>
      <c r="D270" s="131" t="s">
        <v>44</v>
      </c>
      <c r="E270" s="132"/>
      <c r="F270" s="115"/>
      <c r="G270" s="115"/>
      <c r="H270" s="115"/>
      <c r="I270" s="115"/>
      <c r="J270" s="115"/>
      <c r="K270" s="115"/>
      <c r="L270" s="115"/>
      <c r="M270" s="115"/>
      <c r="N270" s="115"/>
      <c r="O270" s="115"/>
      <c r="P270" s="115"/>
      <c r="Q270" s="115"/>
      <c r="R270" s="115"/>
      <c r="S270" s="115"/>
      <c r="T270" s="178"/>
      <c r="U270" s="178"/>
      <c r="V270" s="410"/>
      <c r="Z270" s="178"/>
      <c r="AA270" s="178"/>
      <c r="AB270" s="178"/>
      <c r="AC270" s="178"/>
      <c r="AD270" s="178"/>
      <c r="AE270" s="178"/>
      <c r="AF270" s="178"/>
      <c r="AG270" s="178"/>
      <c r="AH270" s="178"/>
      <c r="AI270" s="178"/>
      <c r="AJ270" s="178"/>
      <c r="AK270" s="178"/>
      <c r="AL270" s="178"/>
      <c r="AM270" s="178"/>
      <c r="AN270" s="178"/>
      <c r="AO270" s="178"/>
      <c r="AP270" s="178"/>
      <c r="AQ270" s="178"/>
      <c r="AR270" s="178"/>
      <c r="AS270" s="178"/>
    </row>
    <row r="271" spans="1:45" s="21" customFormat="1" ht="13.5" customHeight="1" x14ac:dyDescent="0.4">
      <c r="A271" s="27"/>
      <c r="B271" s="648"/>
      <c r="C271" s="648"/>
      <c r="D271" s="131" t="s">
        <v>44</v>
      </c>
      <c r="E271" s="132"/>
      <c r="F271" s="115"/>
      <c r="G271" s="115"/>
      <c r="H271" s="115"/>
      <c r="I271" s="115"/>
      <c r="J271" s="115"/>
      <c r="K271" s="115"/>
      <c r="L271" s="115"/>
      <c r="M271" s="115"/>
      <c r="N271" s="115"/>
      <c r="O271" s="115"/>
      <c r="P271" s="115"/>
      <c r="Q271" s="115"/>
      <c r="R271" s="115"/>
      <c r="S271" s="115"/>
      <c r="T271" s="178"/>
      <c r="U271" s="178"/>
      <c r="V271" s="410"/>
      <c r="Z271" s="178"/>
      <c r="AA271" s="178"/>
      <c r="AB271" s="178"/>
      <c r="AC271" s="178"/>
      <c r="AD271" s="178"/>
      <c r="AE271" s="178"/>
      <c r="AF271" s="178"/>
      <c r="AG271" s="178"/>
      <c r="AH271" s="178"/>
      <c r="AI271" s="178"/>
      <c r="AJ271" s="178"/>
      <c r="AK271" s="178"/>
      <c r="AL271" s="178"/>
      <c r="AM271" s="178"/>
      <c r="AN271" s="178"/>
      <c r="AO271" s="178"/>
      <c r="AP271" s="178"/>
      <c r="AQ271" s="178"/>
      <c r="AR271" s="178"/>
      <c r="AS271" s="178"/>
    </row>
    <row r="272" spans="1:45" s="21" customFormat="1" ht="13.5" customHeight="1" x14ac:dyDescent="0.4">
      <c r="A272" s="27"/>
      <c r="B272" s="648"/>
      <c r="C272" s="648"/>
      <c r="D272" s="131" t="s">
        <v>44</v>
      </c>
      <c r="E272" s="132"/>
      <c r="F272" s="115"/>
      <c r="G272" s="115"/>
      <c r="H272" s="115"/>
      <c r="I272" s="115"/>
      <c r="J272" s="115"/>
      <c r="K272" s="115"/>
      <c r="L272" s="115"/>
      <c r="M272" s="115"/>
      <c r="N272" s="115"/>
      <c r="O272" s="115"/>
      <c r="P272" s="115"/>
      <c r="Q272" s="115"/>
      <c r="R272" s="115"/>
      <c r="S272" s="115"/>
      <c r="T272" s="178"/>
      <c r="U272" s="178"/>
      <c r="V272" s="410"/>
      <c r="Z272" s="178"/>
      <c r="AA272" s="178"/>
      <c r="AB272" s="178"/>
      <c r="AC272" s="178"/>
      <c r="AD272" s="178"/>
      <c r="AE272" s="178"/>
      <c r="AF272" s="178"/>
      <c r="AG272" s="178"/>
      <c r="AH272" s="178"/>
      <c r="AI272" s="178"/>
      <c r="AJ272" s="178"/>
      <c r="AK272" s="178"/>
      <c r="AL272" s="178"/>
      <c r="AM272" s="178"/>
      <c r="AN272" s="178"/>
      <c r="AO272" s="178"/>
      <c r="AP272" s="178"/>
      <c r="AQ272" s="178"/>
      <c r="AR272" s="178"/>
      <c r="AS272" s="178"/>
    </row>
    <row r="273" spans="1:45" s="21" customFormat="1" ht="13.5" customHeight="1" x14ac:dyDescent="0.4">
      <c r="A273" s="27"/>
      <c r="B273" s="648"/>
      <c r="C273" s="648"/>
      <c r="D273" s="131" t="s">
        <v>44</v>
      </c>
      <c r="E273" s="132"/>
      <c r="F273" s="115"/>
      <c r="G273" s="115"/>
      <c r="H273" s="115"/>
      <c r="I273" s="115"/>
      <c r="J273" s="115"/>
      <c r="K273" s="115"/>
      <c r="L273" s="115"/>
      <c r="M273" s="115"/>
      <c r="N273" s="115"/>
      <c r="O273" s="115"/>
      <c r="P273" s="115"/>
      <c r="Q273" s="115"/>
      <c r="R273" s="115"/>
      <c r="S273" s="115"/>
      <c r="T273" s="178"/>
      <c r="U273" s="178"/>
      <c r="V273" s="410"/>
      <c r="Z273" s="178"/>
      <c r="AA273" s="178"/>
      <c r="AB273" s="178"/>
      <c r="AC273" s="178"/>
      <c r="AD273" s="178"/>
      <c r="AE273" s="178"/>
      <c r="AF273" s="178"/>
      <c r="AG273" s="178"/>
      <c r="AH273" s="178"/>
      <c r="AI273" s="178"/>
      <c r="AJ273" s="178"/>
      <c r="AK273" s="178"/>
      <c r="AL273" s="178"/>
      <c r="AM273" s="178"/>
      <c r="AN273" s="178"/>
      <c r="AO273" s="178"/>
      <c r="AP273" s="178"/>
      <c r="AQ273" s="178"/>
      <c r="AR273" s="178"/>
      <c r="AS273" s="178"/>
    </row>
    <row r="274" spans="1:45" s="21" customFormat="1" ht="13.5" customHeight="1" x14ac:dyDescent="0.4">
      <c r="A274" s="27"/>
      <c r="B274" s="648"/>
      <c r="C274" s="648"/>
      <c r="D274" s="131" t="s">
        <v>44</v>
      </c>
      <c r="E274" s="132"/>
      <c r="F274" s="115"/>
      <c r="G274" s="115"/>
      <c r="H274" s="115"/>
      <c r="I274" s="115"/>
      <c r="J274" s="115"/>
      <c r="K274" s="115"/>
      <c r="L274" s="115"/>
      <c r="M274" s="115"/>
      <c r="N274" s="115"/>
      <c r="O274" s="115"/>
      <c r="P274" s="115"/>
      <c r="Q274" s="115"/>
      <c r="R274" s="115"/>
      <c r="S274" s="115"/>
      <c r="T274" s="178"/>
      <c r="U274" s="178"/>
      <c r="V274" s="410"/>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row>
    <row r="275" spans="1:45" s="21" customFormat="1" ht="13.5" customHeight="1" x14ac:dyDescent="0.4">
      <c r="A275" s="27"/>
      <c r="B275" s="648"/>
      <c r="C275" s="648"/>
      <c r="D275" s="131" t="s">
        <v>44</v>
      </c>
      <c r="E275" s="132"/>
      <c r="F275" s="115"/>
      <c r="G275" s="115"/>
      <c r="H275" s="115"/>
      <c r="I275" s="115"/>
      <c r="J275" s="115"/>
      <c r="K275" s="115"/>
      <c r="L275" s="115"/>
      <c r="M275" s="115"/>
      <c r="N275" s="115"/>
      <c r="O275" s="115"/>
      <c r="P275" s="115"/>
      <c r="Q275" s="115"/>
      <c r="R275" s="115"/>
      <c r="S275" s="115"/>
      <c r="T275" s="178"/>
      <c r="U275" s="178"/>
      <c r="V275" s="410"/>
      <c r="Z275" s="178"/>
      <c r="AA275" s="178"/>
      <c r="AB275" s="178"/>
      <c r="AC275" s="178"/>
      <c r="AD275" s="178"/>
      <c r="AE275" s="178"/>
      <c r="AF275" s="178"/>
      <c r="AG275" s="178"/>
      <c r="AH275" s="178"/>
      <c r="AI275" s="178"/>
      <c r="AJ275" s="178"/>
      <c r="AK275" s="178"/>
      <c r="AL275" s="178"/>
      <c r="AM275" s="178"/>
      <c r="AN275" s="178"/>
      <c r="AO275" s="178"/>
      <c r="AP275" s="178"/>
      <c r="AQ275" s="178"/>
      <c r="AR275" s="178"/>
      <c r="AS275" s="178"/>
    </row>
    <row r="276" spans="1:45" s="21" customFormat="1" ht="13.5" customHeight="1" x14ac:dyDescent="0.4">
      <c r="A276" s="27"/>
      <c r="B276" s="648"/>
      <c r="C276" s="648"/>
      <c r="D276" s="131" t="s">
        <v>44</v>
      </c>
      <c r="E276" s="132"/>
      <c r="F276" s="115"/>
      <c r="G276" s="115"/>
      <c r="H276" s="115"/>
      <c r="I276" s="115"/>
      <c r="J276" s="115"/>
      <c r="K276" s="115"/>
      <c r="L276" s="115"/>
      <c r="M276" s="115"/>
      <c r="N276" s="115"/>
      <c r="O276" s="115"/>
      <c r="P276" s="115"/>
      <c r="Q276" s="115"/>
      <c r="R276" s="115"/>
      <c r="S276" s="115"/>
      <c r="T276" s="178"/>
      <c r="U276" s="178"/>
      <c r="V276" s="410"/>
      <c r="Z276" s="178"/>
      <c r="AA276" s="178"/>
      <c r="AB276" s="178"/>
      <c r="AC276" s="178"/>
      <c r="AD276" s="178"/>
      <c r="AE276" s="178"/>
      <c r="AF276" s="178"/>
      <c r="AG276" s="178"/>
      <c r="AH276" s="178"/>
      <c r="AI276" s="178"/>
      <c r="AJ276" s="178"/>
      <c r="AK276" s="178"/>
      <c r="AL276" s="178"/>
      <c r="AM276" s="178"/>
      <c r="AN276" s="178"/>
      <c r="AO276" s="178"/>
      <c r="AP276" s="178"/>
      <c r="AQ276" s="178"/>
      <c r="AR276" s="178"/>
      <c r="AS276" s="178"/>
    </row>
    <row r="277" spans="1:45" s="21" customFormat="1" ht="13.5" customHeight="1" x14ac:dyDescent="0.4">
      <c r="A277" s="27"/>
      <c r="B277" s="648"/>
      <c r="C277" s="648"/>
      <c r="D277" s="131" t="s">
        <v>44</v>
      </c>
      <c r="E277" s="132"/>
      <c r="F277" s="115"/>
      <c r="G277" s="115"/>
      <c r="H277" s="115"/>
      <c r="I277" s="115"/>
      <c r="J277" s="115"/>
      <c r="K277" s="115"/>
      <c r="L277" s="115"/>
      <c r="M277" s="115"/>
      <c r="N277" s="115"/>
      <c r="O277" s="115"/>
      <c r="P277" s="115"/>
      <c r="Q277" s="115"/>
      <c r="R277" s="115"/>
      <c r="S277" s="115"/>
      <c r="T277" s="178"/>
      <c r="U277" s="178"/>
      <c r="V277" s="410"/>
      <c r="Z277" s="178"/>
      <c r="AA277" s="178"/>
      <c r="AB277" s="178"/>
      <c r="AC277" s="178"/>
      <c r="AD277" s="178"/>
      <c r="AF277" s="178"/>
      <c r="AG277" s="178"/>
      <c r="AH277" s="178"/>
      <c r="AI277" s="178"/>
      <c r="AJ277" s="178"/>
      <c r="AK277" s="178"/>
      <c r="AL277" s="178"/>
      <c r="AM277" s="178"/>
      <c r="AN277" s="178"/>
      <c r="AO277" s="178"/>
      <c r="AP277" s="178"/>
      <c r="AQ277" s="178"/>
      <c r="AR277" s="178"/>
      <c r="AS277" s="178"/>
    </row>
    <row r="278" spans="1:45" s="21" customFormat="1" ht="13.5" customHeight="1" x14ac:dyDescent="0.4">
      <c r="A278" s="27"/>
      <c r="B278" s="648"/>
      <c r="C278" s="648"/>
      <c r="D278" s="131" t="s">
        <v>44</v>
      </c>
      <c r="E278" s="132"/>
      <c r="F278" s="115"/>
      <c r="G278" s="115"/>
      <c r="H278" s="115"/>
      <c r="I278" s="115"/>
      <c r="J278" s="115"/>
      <c r="K278" s="115"/>
      <c r="L278" s="115"/>
      <c r="M278" s="115"/>
      <c r="N278" s="115"/>
      <c r="O278" s="115"/>
      <c r="P278" s="115"/>
      <c r="Q278" s="115"/>
      <c r="R278" s="115"/>
      <c r="S278" s="115"/>
      <c r="T278" s="115"/>
      <c r="U278" s="115"/>
      <c r="V278" s="414"/>
      <c r="W278" s="120"/>
      <c r="X278" s="120"/>
      <c r="Y278" s="120"/>
      <c r="Z278" s="178"/>
      <c r="AA278" s="178"/>
      <c r="AB278" s="178"/>
      <c r="AC278" s="178"/>
      <c r="AD278" s="178"/>
      <c r="AE278" s="178"/>
      <c r="AF278" s="178"/>
      <c r="AG278" s="178"/>
      <c r="AH278" s="178"/>
      <c r="AI278" s="178"/>
      <c r="AJ278" s="178"/>
      <c r="AK278" s="178"/>
      <c r="AL278" s="178"/>
      <c r="AM278" s="178"/>
      <c r="AN278" s="178"/>
      <c r="AO278" s="178"/>
      <c r="AP278" s="178"/>
      <c r="AQ278" s="178"/>
      <c r="AR278" s="178"/>
      <c r="AS278" s="178"/>
    </row>
    <row r="279" spans="1:45" s="21" customFormat="1" ht="13.5" customHeight="1" x14ac:dyDescent="0.4">
      <c r="A279" s="27"/>
      <c r="B279" s="648"/>
      <c r="C279" s="648"/>
      <c r="D279" s="131" t="s">
        <v>44</v>
      </c>
      <c r="E279" s="132"/>
      <c r="F279" s="115"/>
      <c r="G279" s="115"/>
      <c r="H279" s="115"/>
      <c r="I279" s="115"/>
      <c r="J279" s="115"/>
      <c r="K279" s="115"/>
      <c r="L279" s="115"/>
      <c r="M279" s="115"/>
      <c r="N279" s="115"/>
      <c r="O279" s="115"/>
      <c r="P279" s="115"/>
      <c r="Q279" s="115"/>
      <c r="R279" s="115"/>
      <c r="S279" s="115"/>
      <c r="T279" s="115"/>
      <c r="U279" s="115"/>
      <c r="V279" s="414"/>
      <c r="W279" s="120"/>
      <c r="X279" s="120"/>
      <c r="Y279" s="120"/>
      <c r="Z279" s="178"/>
      <c r="AA279" s="178"/>
      <c r="AB279" s="178"/>
      <c r="AC279" s="178"/>
      <c r="AD279" s="178"/>
      <c r="AE279" s="178"/>
      <c r="AF279" s="178"/>
      <c r="AG279" s="178"/>
      <c r="AH279" s="178"/>
      <c r="AI279" s="178"/>
      <c r="AJ279" s="178"/>
      <c r="AK279" s="178"/>
      <c r="AL279" s="178"/>
      <c r="AM279" s="178"/>
      <c r="AN279" s="178"/>
      <c r="AO279" s="178"/>
      <c r="AP279" s="178"/>
      <c r="AQ279" s="178"/>
      <c r="AR279" s="178"/>
      <c r="AS279" s="178"/>
    </row>
    <row r="280" spans="1:45" s="21" customFormat="1" ht="13.5" customHeight="1" x14ac:dyDescent="0.4">
      <c r="A280" s="27"/>
      <c r="B280" s="648"/>
      <c r="C280" s="648"/>
      <c r="D280" s="131" t="s">
        <v>44</v>
      </c>
      <c r="E280" s="132"/>
      <c r="F280" s="115"/>
      <c r="G280" s="115"/>
      <c r="H280" s="115"/>
      <c r="I280" s="115"/>
      <c r="J280" s="115"/>
      <c r="K280" s="115"/>
      <c r="L280" s="115"/>
      <c r="M280" s="115"/>
      <c r="N280" s="115"/>
      <c r="O280" s="115"/>
      <c r="P280" s="115"/>
      <c r="Q280" s="115"/>
      <c r="R280" s="115"/>
      <c r="S280" s="115"/>
      <c r="T280" s="115"/>
      <c r="U280" s="115"/>
      <c r="V280" s="414"/>
      <c r="W280" s="120"/>
      <c r="X280" s="120"/>
      <c r="Y280" s="120"/>
      <c r="Z280" s="178"/>
      <c r="AA280" s="178"/>
      <c r="AB280" s="178"/>
      <c r="AC280" s="178"/>
      <c r="AD280" s="178"/>
      <c r="AE280" s="178"/>
      <c r="AF280" s="178"/>
      <c r="AG280" s="178"/>
      <c r="AH280" s="178"/>
      <c r="AI280" s="178"/>
      <c r="AJ280" s="178"/>
      <c r="AK280" s="178"/>
      <c r="AL280" s="178"/>
      <c r="AM280" s="178"/>
      <c r="AN280" s="178"/>
      <c r="AO280" s="178"/>
      <c r="AP280" s="178"/>
      <c r="AQ280" s="178"/>
      <c r="AR280" s="178"/>
      <c r="AS280" s="178"/>
    </row>
    <row r="281" spans="1:45" s="21" customFormat="1" ht="13.5" customHeight="1" x14ac:dyDescent="0.4">
      <c r="A281" s="27"/>
      <c r="B281" s="648"/>
      <c r="C281" s="648"/>
      <c r="D281" s="131" t="s">
        <v>44</v>
      </c>
      <c r="E281" s="132"/>
      <c r="F281" s="115"/>
      <c r="G281" s="115"/>
      <c r="H281" s="115"/>
      <c r="I281" s="115"/>
      <c r="J281" s="115"/>
      <c r="K281" s="115"/>
      <c r="L281" s="115"/>
      <c r="M281" s="115"/>
      <c r="N281" s="115"/>
      <c r="O281" s="115"/>
      <c r="P281" s="115"/>
      <c r="Q281" s="115"/>
      <c r="R281" s="115"/>
      <c r="S281" s="115"/>
      <c r="T281" s="115"/>
      <c r="U281" s="115"/>
      <c r="V281" s="414"/>
      <c r="W281" s="120"/>
      <c r="X281" s="120"/>
      <c r="Y281" s="120"/>
      <c r="Z281" s="178"/>
      <c r="AA281" s="178"/>
      <c r="AB281" s="178"/>
      <c r="AC281" s="178"/>
      <c r="AD281" s="178"/>
      <c r="AE281" s="178"/>
      <c r="AF281" s="178"/>
      <c r="AG281" s="178"/>
      <c r="AH281" s="178"/>
      <c r="AI281" s="178"/>
      <c r="AJ281" s="178"/>
      <c r="AK281" s="178"/>
      <c r="AL281" s="178"/>
      <c r="AM281" s="178"/>
      <c r="AN281" s="178"/>
      <c r="AO281" s="178"/>
      <c r="AP281" s="178"/>
      <c r="AQ281" s="178"/>
      <c r="AR281" s="178"/>
      <c r="AS281" s="178"/>
    </row>
    <row r="282" spans="1:45" s="21" customFormat="1" ht="13.5" customHeight="1" x14ac:dyDescent="0.4">
      <c r="A282" s="27"/>
      <c r="B282" s="648"/>
      <c r="C282" s="648"/>
      <c r="D282" s="131" t="s">
        <v>44</v>
      </c>
      <c r="E282" s="132"/>
      <c r="F282" s="115"/>
      <c r="G282" s="115"/>
      <c r="H282" s="115"/>
      <c r="I282" s="115"/>
      <c r="J282" s="115"/>
      <c r="K282" s="115"/>
      <c r="L282" s="115"/>
      <c r="M282" s="115"/>
      <c r="N282" s="115"/>
      <c r="O282" s="115"/>
      <c r="P282" s="115"/>
      <c r="Q282" s="115"/>
      <c r="R282" s="115"/>
      <c r="S282" s="115"/>
      <c r="T282" s="115"/>
      <c r="U282" s="115"/>
      <c r="V282" s="414"/>
      <c r="W282" s="120"/>
      <c r="X282" s="120"/>
      <c r="Y282" s="120"/>
      <c r="Z282" s="178"/>
      <c r="AA282" s="178"/>
      <c r="AB282" s="178"/>
      <c r="AC282" s="178"/>
      <c r="AD282" s="178"/>
      <c r="AE282" s="178"/>
      <c r="AF282" s="178"/>
      <c r="AG282" s="178"/>
      <c r="AH282" s="178"/>
      <c r="AI282" s="178"/>
      <c r="AJ282" s="178"/>
      <c r="AK282" s="178"/>
      <c r="AL282" s="178"/>
      <c r="AM282" s="178"/>
      <c r="AN282" s="178"/>
      <c r="AO282" s="178"/>
      <c r="AP282" s="178"/>
      <c r="AQ282" s="178"/>
      <c r="AR282" s="178"/>
      <c r="AS282" s="178"/>
    </row>
    <row r="283" spans="1:45" s="21" customFormat="1" ht="13.5" customHeight="1" x14ac:dyDescent="0.4">
      <c r="A283" s="27"/>
      <c r="B283" s="648"/>
      <c r="C283" s="648"/>
      <c r="D283" s="131" t="s">
        <v>44</v>
      </c>
      <c r="E283" s="132"/>
      <c r="F283" s="115"/>
      <c r="G283" s="115"/>
      <c r="H283" s="115"/>
      <c r="I283" s="115"/>
      <c r="J283" s="115"/>
      <c r="K283" s="115"/>
      <c r="L283" s="115"/>
      <c r="M283" s="115"/>
      <c r="N283" s="115"/>
      <c r="O283" s="115"/>
      <c r="P283" s="115"/>
      <c r="Q283" s="115"/>
      <c r="R283" s="115"/>
      <c r="S283" s="115"/>
      <c r="T283" s="115"/>
      <c r="U283" s="115"/>
      <c r="V283" s="414"/>
      <c r="W283" s="120"/>
      <c r="X283" s="120"/>
      <c r="Y283" s="120"/>
      <c r="Z283" s="178"/>
      <c r="AA283" s="178"/>
      <c r="AB283" s="178"/>
      <c r="AC283" s="178"/>
      <c r="AD283" s="178"/>
      <c r="AE283" s="178"/>
      <c r="AF283" s="178"/>
      <c r="AG283" s="178"/>
      <c r="AH283" s="178"/>
      <c r="AI283" s="178"/>
      <c r="AJ283" s="178"/>
      <c r="AK283" s="178"/>
      <c r="AL283" s="178"/>
      <c r="AM283" s="178"/>
      <c r="AN283" s="178"/>
      <c r="AO283" s="178"/>
      <c r="AP283" s="178"/>
      <c r="AQ283" s="178"/>
      <c r="AR283" s="178"/>
      <c r="AS283" s="178"/>
    </row>
    <row r="284" spans="1:45" s="21" customFormat="1" ht="13.5" customHeight="1" x14ac:dyDescent="0.4">
      <c r="A284" s="27"/>
      <c r="B284" s="648"/>
      <c r="C284" s="648"/>
      <c r="D284" s="131" t="s">
        <v>44</v>
      </c>
      <c r="E284" s="132"/>
      <c r="F284" s="115"/>
      <c r="G284" s="115"/>
      <c r="H284" s="115"/>
      <c r="I284" s="115"/>
      <c r="J284" s="115"/>
      <c r="K284" s="115"/>
      <c r="L284" s="115"/>
      <c r="M284" s="115"/>
      <c r="N284" s="115"/>
      <c r="O284" s="115"/>
      <c r="P284" s="115"/>
      <c r="Q284" s="115"/>
      <c r="R284" s="115"/>
      <c r="S284" s="115"/>
      <c r="T284" s="115"/>
      <c r="U284" s="115"/>
      <c r="V284" s="414"/>
      <c r="W284" s="120"/>
      <c r="X284" s="120"/>
      <c r="Y284" s="120"/>
      <c r="Z284" s="178"/>
      <c r="AA284" s="178"/>
      <c r="AB284" s="178"/>
      <c r="AC284" s="178"/>
      <c r="AD284" s="178"/>
      <c r="AE284" s="178"/>
      <c r="AF284" s="178"/>
      <c r="AG284" s="178"/>
      <c r="AH284" s="178"/>
      <c r="AI284" s="178"/>
      <c r="AJ284" s="178"/>
      <c r="AK284" s="178"/>
      <c r="AL284" s="178"/>
      <c r="AM284" s="178"/>
      <c r="AN284" s="178"/>
      <c r="AO284" s="178"/>
      <c r="AP284" s="178"/>
      <c r="AQ284" s="178"/>
      <c r="AR284" s="178"/>
      <c r="AS284" s="178"/>
    </row>
    <row r="285" spans="1:45" s="21" customFormat="1" ht="13.5" customHeight="1" x14ac:dyDescent="0.4">
      <c r="A285" s="27"/>
      <c r="B285" s="648"/>
      <c r="C285" s="648"/>
      <c r="D285" s="131"/>
      <c r="E285" s="132"/>
      <c r="F285" s="115"/>
      <c r="G285" s="115"/>
      <c r="H285" s="115"/>
      <c r="I285" s="115"/>
      <c r="J285" s="115"/>
      <c r="K285" s="115"/>
      <c r="L285" s="115"/>
      <c r="M285" s="115"/>
      <c r="N285" s="115"/>
      <c r="O285" s="115"/>
      <c r="P285" s="115"/>
      <c r="Q285" s="115"/>
      <c r="R285" s="115"/>
      <c r="S285" s="115"/>
      <c r="T285" s="115"/>
      <c r="U285" s="115"/>
      <c r="V285" s="414"/>
      <c r="W285" s="120"/>
      <c r="X285" s="120"/>
      <c r="Y285" s="120"/>
      <c r="Z285" s="178"/>
      <c r="AA285" s="178"/>
      <c r="AB285" s="178"/>
      <c r="AC285" s="178"/>
      <c r="AD285" s="178"/>
      <c r="AE285" s="178"/>
      <c r="AF285" s="178"/>
      <c r="AG285" s="178"/>
      <c r="AH285" s="178"/>
      <c r="AI285" s="178"/>
      <c r="AJ285" s="178"/>
      <c r="AK285" s="178"/>
      <c r="AL285" s="178"/>
      <c r="AM285" s="178"/>
      <c r="AN285" s="178"/>
      <c r="AO285" s="178"/>
      <c r="AP285" s="178"/>
      <c r="AQ285" s="178"/>
      <c r="AR285" s="178"/>
      <c r="AS285" s="178"/>
    </row>
    <row r="286" spans="1:45" s="734" customFormat="1" ht="27" customHeight="1" x14ac:dyDescent="0.4">
      <c r="A286" s="733"/>
      <c r="B286" s="733"/>
      <c r="C286" s="733"/>
      <c r="E286" s="734" t="str">
        <f>UPPER('Talnagögn | Numerical Data'!$E$5)</f>
        <v>SÖGULEG LOSUN</v>
      </c>
      <c r="F286" s="735"/>
      <c r="G286" s="735"/>
      <c r="H286" s="735"/>
      <c r="I286" s="735"/>
      <c r="J286" s="735"/>
      <c r="K286" s="735"/>
      <c r="L286" s="735"/>
      <c r="M286" s="735"/>
      <c r="N286" s="735"/>
      <c r="O286" s="735"/>
      <c r="P286" s="735"/>
      <c r="Q286" s="735"/>
      <c r="R286" s="735"/>
      <c r="S286" s="735"/>
      <c r="T286" s="735"/>
      <c r="U286" s="735"/>
      <c r="V286" s="736"/>
      <c r="Y286" s="734" t="str">
        <f>UPPER('Talnagögn | Numerical Data'!$G$5)</f>
        <v>HISTORICAL EMISSIONS</v>
      </c>
      <c r="Z286" s="735"/>
      <c r="AA286" s="735"/>
      <c r="AB286" s="735"/>
      <c r="AC286" s="735"/>
      <c r="AD286" s="735"/>
      <c r="AE286" s="735"/>
      <c r="AF286" s="735"/>
      <c r="AG286" s="735"/>
      <c r="AH286" s="735"/>
      <c r="AI286" s="735"/>
      <c r="AJ286" s="735"/>
      <c r="AK286" s="735"/>
      <c r="AL286" s="735"/>
      <c r="AM286" s="735"/>
      <c r="AN286" s="735"/>
      <c r="AO286" s="735"/>
      <c r="AP286" s="735"/>
      <c r="AQ286" s="735"/>
      <c r="AR286" s="735"/>
      <c r="AS286" s="735"/>
    </row>
    <row r="287" spans="1:45" s="21" customFormat="1" ht="14.4" customHeight="1" x14ac:dyDescent="0.4">
      <c r="A287" s="27"/>
      <c r="B287" s="645"/>
      <c r="C287" s="645"/>
      <c r="D287" s="131" t="s">
        <v>44</v>
      </c>
      <c r="F287" s="178"/>
      <c r="G287" s="178"/>
      <c r="H287" s="127"/>
      <c r="I287" s="178"/>
      <c r="J287" s="178"/>
      <c r="K287" s="178"/>
      <c r="L287" s="178"/>
      <c r="M287" s="178"/>
      <c r="N287" s="178"/>
      <c r="O287" s="178"/>
      <c r="P287" s="178"/>
      <c r="Q287" s="178"/>
      <c r="R287" s="178"/>
      <c r="S287" s="178"/>
      <c r="T287" s="178"/>
      <c r="U287" s="178"/>
      <c r="V287" s="410"/>
      <c r="Z287" s="178"/>
      <c r="AA287" s="178"/>
      <c r="AB287" s="178"/>
      <c r="AC287" s="178"/>
      <c r="AD287" s="178"/>
      <c r="AE287" s="178"/>
      <c r="AF287" s="178"/>
      <c r="AG287" s="178"/>
      <c r="AH287" s="178"/>
      <c r="AI287" s="178"/>
      <c r="AJ287" s="178"/>
      <c r="AK287" s="178"/>
      <c r="AL287" s="178"/>
      <c r="AM287" s="178"/>
      <c r="AN287" s="178"/>
      <c r="AO287" s="178"/>
      <c r="AP287" s="178"/>
      <c r="AQ287" s="178"/>
      <c r="AR287" s="178"/>
      <c r="AS287" s="178"/>
    </row>
    <row r="288" spans="1:45" s="21" customFormat="1" ht="14.4" customHeight="1" x14ac:dyDescent="0.4">
      <c r="A288" s="27"/>
      <c r="B288" s="645"/>
      <c r="C288" s="645"/>
      <c r="D288" s="131" t="s">
        <v>44</v>
      </c>
      <c r="F288" s="178"/>
      <c r="G288" s="178"/>
      <c r="H288" s="127"/>
      <c r="I288" s="178"/>
      <c r="J288" s="178"/>
      <c r="K288" s="178"/>
      <c r="L288" s="178"/>
      <c r="M288" s="178"/>
      <c r="N288" s="178"/>
      <c r="O288" s="178"/>
      <c r="P288" s="178"/>
      <c r="Q288" s="178"/>
      <c r="R288" s="178"/>
      <c r="S288" s="178"/>
      <c r="T288" s="178"/>
      <c r="U288" s="178"/>
      <c r="V288" s="410"/>
      <c r="Z288" s="178"/>
      <c r="AA288" s="178"/>
      <c r="AB288" s="178"/>
      <c r="AC288" s="178"/>
      <c r="AD288" s="178"/>
      <c r="AE288" s="178"/>
      <c r="AF288" s="178"/>
      <c r="AG288" s="178"/>
      <c r="AH288" s="178"/>
      <c r="AI288" s="178"/>
      <c r="AJ288" s="178"/>
      <c r="AK288" s="178"/>
      <c r="AL288" s="178"/>
      <c r="AM288" s="178"/>
      <c r="AN288" s="178"/>
      <c r="AO288" s="178"/>
      <c r="AP288" s="178"/>
      <c r="AQ288" s="178"/>
      <c r="AR288" s="178"/>
      <c r="AS288" s="178"/>
    </row>
    <row r="289" spans="1:45" s="21" customFormat="1" ht="14.4" customHeight="1" x14ac:dyDescent="0.4">
      <c r="A289" s="27"/>
      <c r="B289" s="645"/>
      <c r="C289" s="645"/>
      <c r="D289" s="131" t="s">
        <v>44</v>
      </c>
      <c r="F289" s="178"/>
      <c r="G289" s="178"/>
      <c r="H289" s="127"/>
      <c r="I289" s="178"/>
      <c r="J289" s="178"/>
      <c r="K289" s="178"/>
      <c r="L289" s="178"/>
      <c r="M289" s="178"/>
      <c r="N289" s="178"/>
      <c r="O289" s="178"/>
      <c r="P289" s="178"/>
      <c r="Q289" s="178"/>
      <c r="R289" s="178"/>
      <c r="S289" s="178"/>
      <c r="T289" s="178"/>
      <c r="U289" s="178"/>
      <c r="V289" s="410"/>
      <c r="Z289" s="178"/>
      <c r="AA289" s="178"/>
      <c r="AB289" s="178"/>
      <c r="AC289" s="178"/>
      <c r="AD289" s="178"/>
      <c r="AE289" s="178"/>
      <c r="AF289" s="178"/>
      <c r="AG289" s="178"/>
      <c r="AH289" s="178"/>
      <c r="AI289" s="178"/>
      <c r="AJ289" s="178"/>
      <c r="AK289" s="178"/>
      <c r="AL289" s="178"/>
      <c r="AM289" s="178"/>
      <c r="AN289" s="178"/>
      <c r="AO289" s="178"/>
      <c r="AP289" s="178"/>
      <c r="AQ289" s="178"/>
      <c r="AR289" s="178"/>
      <c r="AS289" s="178"/>
    </row>
    <row r="290" spans="1:45" s="21" customFormat="1" x14ac:dyDescent="0.4">
      <c r="A290" s="27"/>
      <c r="B290" s="645"/>
      <c r="C290" s="645"/>
      <c r="D290" s="131" t="s">
        <v>44</v>
      </c>
      <c r="F290" s="178"/>
      <c r="G290" s="178"/>
      <c r="H290" s="127"/>
      <c r="I290" s="178"/>
      <c r="J290" s="178"/>
      <c r="K290" s="178"/>
      <c r="L290" s="178"/>
      <c r="M290" s="178"/>
      <c r="N290" s="178"/>
      <c r="O290" s="178"/>
      <c r="P290" s="178"/>
      <c r="Q290" s="178"/>
      <c r="R290" s="178"/>
      <c r="S290" s="178"/>
      <c r="T290" s="178"/>
      <c r="U290" s="178"/>
      <c r="V290" s="410"/>
      <c r="Z290" s="178"/>
      <c r="AA290" s="178"/>
      <c r="AB290" s="178"/>
      <c r="AC290" s="178"/>
      <c r="AD290" s="178"/>
      <c r="AE290" s="178"/>
      <c r="AF290" s="178"/>
      <c r="AG290" s="178"/>
      <c r="AH290" s="178"/>
      <c r="AI290" s="178"/>
      <c r="AJ290" s="178"/>
      <c r="AK290" s="178"/>
      <c r="AL290" s="178"/>
      <c r="AM290" s="178"/>
      <c r="AN290" s="178"/>
      <c r="AO290" s="178"/>
      <c r="AP290" s="178"/>
      <c r="AQ290" s="178"/>
      <c r="AR290" s="178"/>
      <c r="AS290" s="178"/>
    </row>
    <row r="291" spans="1:45" s="21" customFormat="1" x14ac:dyDescent="0.4">
      <c r="A291" s="27"/>
      <c r="B291" s="645"/>
      <c r="C291" s="645"/>
      <c r="D291" s="131" t="s">
        <v>44</v>
      </c>
      <c r="F291" s="178"/>
      <c r="G291" s="178"/>
      <c r="H291" s="127"/>
      <c r="I291" s="178"/>
      <c r="J291" s="178"/>
      <c r="K291" s="178"/>
      <c r="L291" s="178"/>
      <c r="M291" s="178"/>
      <c r="N291" s="178"/>
      <c r="O291" s="178"/>
      <c r="P291" s="178"/>
      <c r="Q291" s="178"/>
      <c r="R291" s="178"/>
      <c r="S291" s="178"/>
      <c r="T291" s="178"/>
      <c r="U291" s="178"/>
      <c r="V291" s="410"/>
      <c r="Z291" s="178"/>
      <c r="AA291" s="178"/>
      <c r="AB291" s="178"/>
      <c r="AC291" s="178"/>
      <c r="AD291" s="178"/>
      <c r="AE291" s="178"/>
      <c r="AF291" s="178"/>
      <c r="AG291" s="178"/>
      <c r="AH291" s="178"/>
      <c r="AI291" s="178"/>
      <c r="AJ291" s="178"/>
      <c r="AK291" s="178"/>
      <c r="AL291" s="178"/>
      <c r="AM291" s="178"/>
      <c r="AN291" s="178"/>
      <c r="AO291" s="178"/>
      <c r="AP291" s="178"/>
      <c r="AQ291" s="178"/>
      <c r="AR291" s="178"/>
      <c r="AS291" s="178"/>
    </row>
    <row r="292" spans="1:45" s="21" customFormat="1" x14ac:dyDescent="0.4">
      <c r="A292" s="27"/>
      <c r="B292" s="645"/>
      <c r="C292" s="645"/>
      <c r="D292" s="131" t="s">
        <v>44</v>
      </c>
      <c r="F292" s="178"/>
      <c r="G292" s="178"/>
      <c r="H292" s="127"/>
      <c r="I292" s="178"/>
      <c r="J292" s="178"/>
      <c r="K292" s="178"/>
      <c r="L292" s="178"/>
      <c r="M292" s="178"/>
      <c r="N292" s="178"/>
      <c r="O292" s="178"/>
      <c r="P292" s="178"/>
      <c r="Q292" s="178"/>
      <c r="R292" s="178"/>
      <c r="S292" s="178"/>
      <c r="T292" s="178"/>
      <c r="U292" s="178"/>
      <c r="V292" s="410"/>
      <c r="Z292" s="178"/>
      <c r="AA292" s="178"/>
      <c r="AB292" s="178"/>
      <c r="AC292" s="178"/>
      <c r="AD292" s="178"/>
      <c r="AE292" s="178"/>
      <c r="AF292" s="178"/>
      <c r="AG292" s="178"/>
      <c r="AH292" s="178"/>
      <c r="AI292" s="178"/>
      <c r="AJ292" s="178"/>
      <c r="AK292" s="178"/>
      <c r="AL292" s="178"/>
      <c r="AM292" s="178"/>
      <c r="AN292" s="178"/>
      <c r="AO292" s="178"/>
      <c r="AP292" s="178"/>
      <c r="AQ292" s="178"/>
      <c r="AR292" s="178"/>
      <c r="AS292" s="178"/>
    </row>
    <row r="293" spans="1:45" s="21" customFormat="1" x14ac:dyDescent="0.4">
      <c r="A293" s="27"/>
      <c r="B293" s="645"/>
      <c r="C293" s="645"/>
      <c r="D293" s="131" t="s">
        <v>44</v>
      </c>
      <c r="F293" s="178"/>
      <c r="G293" s="178"/>
      <c r="H293" s="127"/>
      <c r="I293" s="178"/>
      <c r="J293" s="178"/>
      <c r="K293" s="178"/>
      <c r="L293" s="178"/>
      <c r="M293" s="178"/>
      <c r="N293" s="178"/>
      <c r="O293" s="178"/>
      <c r="P293" s="178"/>
      <c r="Q293" s="178"/>
      <c r="R293" s="178"/>
      <c r="S293" s="178"/>
      <c r="T293" s="178"/>
      <c r="U293" s="178"/>
      <c r="V293" s="410"/>
      <c r="Z293" s="178"/>
      <c r="AA293" s="178"/>
      <c r="AB293" s="178"/>
      <c r="AC293" s="178"/>
      <c r="AD293" s="178"/>
      <c r="AE293" s="178"/>
      <c r="AF293" s="178"/>
      <c r="AG293" s="178"/>
      <c r="AH293" s="178"/>
      <c r="AI293" s="178"/>
      <c r="AJ293" s="178"/>
      <c r="AK293" s="178"/>
      <c r="AL293" s="178"/>
      <c r="AM293" s="178"/>
      <c r="AN293" s="178"/>
      <c r="AO293" s="178"/>
      <c r="AP293" s="178"/>
      <c r="AQ293" s="178"/>
      <c r="AR293" s="178"/>
      <c r="AS293" s="178"/>
    </row>
    <row r="294" spans="1:45" s="21" customFormat="1" x14ac:dyDescent="0.4">
      <c r="A294" s="27"/>
      <c r="B294" s="645"/>
      <c r="C294" s="645"/>
      <c r="D294" s="131" t="s">
        <v>44</v>
      </c>
      <c r="F294" s="178"/>
      <c r="G294" s="178"/>
      <c r="H294" s="127"/>
      <c r="I294" s="178"/>
      <c r="J294" s="178"/>
      <c r="K294" s="178"/>
      <c r="L294" s="178"/>
      <c r="M294" s="178"/>
      <c r="N294" s="178"/>
      <c r="O294" s="178"/>
      <c r="P294" s="178"/>
      <c r="Q294" s="178"/>
      <c r="R294" s="178"/>
      <c r="S294" s="178"/>
      <c r="T294" s="178"/>
      <c r="U294" s="178"/>
      <c r="V294" s="410"/>
      <c r="Z294" s="178"/>
      <c r="AA294" s="178"/>
      <c r="AB294" s="178"/>
      <c r="AC294" s="178"/>
      <c r="AD294" s="178"/>
      <c r="AE294" s="178"/>
      <c r="AF294" s="178"/>
      <c r="AG294" s="178"/>
      <c r="AH294" s="178"/>
      <c r="AI294" s="178"/>
      <c r="AJ294" s="178"/>
      <c r="AK294" s="178"/>
      <c r="AL294" s="178"/>
      <c r="AM294" s="178"/>
      <c r="AN294" s="178"/>
      <c r="AO294" s="178"/>
      <c r="AP294" s="178"/>
      <c r="AQ294" s="178"/>
      <c r="AR294" s="178"/>
      <c r="AS294" s="178"/>
    </row>
    <row r="295" spans="1:45" s="21" customFormat="1" ht="15" customHeight="1" x14ac:dyDescent="0.4">
      <c r="A295" s="27"/>
      <c r="B295" s="645"/>
      <c r="C295" s="645"/>
      <c r="D295" s="131" t="s">
        <v>44</v>
      </c>
      <c r="F295" s="178"/>
      <c r="G295" s="178"/>
      <c r="H295" s="127"/>
      <c r="I295" s="178"/>
      <c r="J295" s="178"/>
      <c r="K295" s="178"/>
      <c r="L295" s="178"/>
      <c r="M295" s="178"/>
      <c r="N295" s="178"/>
      <c r="O295" s="178"/>
      <c r="P295" s="178"/>
      <c r="Q295" s="178"/>
      <c r="R295" s="178"/>
      <c r="S295" s="178"/>
      <c r="T295" s="178"/>
      <c r="U295" s="178"/>
      <c r="V295" s="410"/>
      <c r="Z295" s="178"/>
      <c r="AA295" s="178"/>
      <c r="AB295" s="178"/>
      <c r="AC295" s="178"/>
      <c r="AD295" s="178"/>
      <c r="AE295" s="178"/>
      <c r="AF295" s="178"/>
      <c r="AG295" s="178"/>
      <c r="AH295" s="178"/>
      <c r="AI295" s="178"/>
      <c r="AJ295" s="178"/>
      <c r="AK295" s="178"/>
      <c r="AL295" s="178"/>
      <c r="AM295" s="178"/>
      <c r="AN295" s="178"/>
      <c r="AO295" s="178"/>
      <c r="AP295" s="178"/>
      <c r="AQ295" s="178"/>
      <c r="AR295" s="178"/>
      <c r="AS295" s="178"/>
    </row>
    <row r="296" spans="1:45" s="21" customFormat="1" ht="15" customHeight="1" x14ac:dyDescent="0.4">
      <c r="A296" s="27"/>
      <c r="B296" s="645"/>
      <c r="C296" s="645"/>
      <c r="D296" s="131" t="s">
        <v>44</v>
      </c>
      <c r="F296" s="178"/>
      <c r="G296" s="178"/>
      <c r="H296" s="127"/>
      <c r="I296" s="178"/>
      <c r="J296" s="178"/>
      <c r="K296" s="178"/>
      <c r="L296" s="178"/>
      <c r="M296" s="178"/>
      <c r="N296" s="178"/>
      <c r="O296" s="178"/>
      <c r="P296" s="178"/>
      <c r="Q296" s="178"/>
      <c r="R296" s="178"/>
      <c r="S296" s="178"/>
      <c r="T296" s="178"/>
      <c r="U296" s="178"/>
      <c r="V296" s="410"/>
      <c r="Z296" s="178"/>
      <c r="AA296" s="178"/>
      <c r="AB296" s="178"/>
      <c r="AC296" s="178"/>
      <c r="AD296" s="178"/>
      <c r="AE296" s="178"/>
      <c r="AF296" s="178"/>
      <c r="AG296" s="178"/>
      <c r="AH296" s="178"/>
      <c r="AI296" s="178"/>
      <c r="AJ296" s="178"/>
      <c r="AK296" s="178"/>
      <c r="AL296" s="178"/>
      <c r="AM296" s="178"/>
      <c r="AN296" s="178"/>
      <c r="AO296" s="178"/>
      <c r="AP296" s="178"/>
      <c r="AQ296" s="178"/>
      <c r="AR296" s="178"/>
      <c r="AS296" s="178"/>
    </row>
    <row r="297" spans="1:45" s="21" customFormat="1" ht="15" customHeight="1" x14ac:dyDescent="0.4">
      <c r="A297" s="27"/>
      <c r="B297" s="645"/>
      <c r="C297" s="645"/>
      <c r="D297" s="131" t="s">
        <v>44</v>
      </c>
      <c r="F297" s="178"/>
      <c r="G297" s="178"/>
      <c r="H297" s="127"/>
      <c r="I297" s="178"/>
      <c r="J297" s="178"/>
      <c r="K297" s="178"/>
      <c r="L297" s="178"/>
      <c r="M297" s="178"/>
      <c r="N297" s="178"/>
      <c r="O297" s="178"/>
      <c r="P297" s="178"/>
      <c r="Q297" s="178"/>
      <c r="R297" s="178"/>
      <c r="S297" s="178"/>
      <c r="T297" s="178"/>
      <c r="U297" s="178"/>
      <c r="V297" s="410"/>
      <c r="Z297" s="178"/>
      <c r="AA297" s="178"/>
      <c r="AB297" s="178"/>
      <c r="AC297" s="178"/>
      <c r="AD297" s="178"/>
      <c r="AE297" s="178"/>
      <c r="AF297" s="178"/>
      <c r="AG297" s="178"/>
      <c r="AH297" s="178"/>
      <c r="AI297" s="178"/>
      <c r="AJ297" s="178"/>
      <c r="AK297" s="178"/>
      <c r="AL297" s="178"/>
      <c r="AM297" s="178"/>
      <c r="AN297" s="178"/>
      <c r="AO297" s="178"/>
      <c r="AP297" s="178"/>
      <c r="AQ297" s="178"/>
      <c r="AR297" s="178"/>
      <c r="AS297" s="178"/>
    </row>
    <row r="298" spans="1:45" s="21" customFormat="1" x14ac:dyDescent="0.4">
      <c r="A298" s="27"/>
      <c r="B298" s="645"/>
      <c r="C298" s="645"/>
      <c r="D298" s="131" t="s">
        <v>44</v>
      </c>
      <c r="F298" s="178"/>
      <c r="G298" s="178"/>
      <c r="H298" s="127"/>
      <c r="I298" s="178"/>
      <c r="J298" s="178"/>
      <c r="K298" s="178"/>
      <c r="L298" s="178"/>
      <c r="M298" s="178"/>
      <c r="N298" s="178"/>
      <c r="O298" s="178"/>
      <c r="P298" s="178"/>
      <c r="Q298" s="178"/>
      <c r="R298" s="178"/>
      <c r="S298" s="178"/>
      <c r="T298" s="178"/>
      <c r="U298" s="178"/>
      <c r="V298" s="410"/>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row>
    <row r="299" spans="1:45" s="21" customFormat="1" x14ac:dyDescent="0.4">
      <c r="A299" s="27"/>
      <c r="B299" s="645"/>
      <c r="C299" s="645"/>
      <c r="D299" s="131" t="s">
        <v>44</v>
      </c>
      <c r="F299" s="178"/>
      <c r="G299" s="178"/>
      <c r="H299" s="127"/>
      <c r="I299" s="178"/>
      <c r="J299" s="178"/>
      <c r="K299" s="178"/>
      <c r="L299" s="178"/>
      <c r="M299" s="178"/>
      <c r="N299" s="178"/>
      <c r="O299" s="178"/>
      <c r="P299" s="178"/>
      <c r="Q299" s="178"/>
      <c r="R299" s="178"/>
      <c r="S299" s="178"/>
      <c r="T299" s="178"/>
      <c r="U299" s="178"/>
      <c r="V299" s="410"/>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row>
    <row r="300" spans="1:45" s="21" customFormat="1" x14ac:dyDescent="0.4">
      <c r="A300" s="27"/>
      <c r="B300" s="645"/>
      <c r="C300" s="645"/>
      <c r="D300" s="131" t="s">
        <v>44</v>
      </c>
      <c r="F300" s="178"/>
      <c r="G300" s="178"/>
      <c r="H300" s="127"/>
      <c r="I300" s="178"/>
      <c r="J300" s="178"/>
      <c r="K300" s="178"/>
      <c r="L300" s="178"/>
      <c r="M300" s="178"/>
      <c r="N300" s="178"/>
      <c r="O300" s="178"/>
      <c r="P300" s="178"/>
      <c r="Q300" s="178"/>
      <c r="R300" s="178"/>
      <c r="S300" s="178"/>
      <c r="T300" s="178"/>
      <c r="U300" s="178"/>
      <c r="V300" s="410"/>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row>
    <row r="301" spans="1:45" s="21" customFormat="1" x14ac:dyDescent="0.4">
      <c r="A301" s="27"/>
      <c r="B301" s="645"/>
      <c r="C301" s="645"/>
      <c r="D301" s="131" t="s">
        <v>44</v>
      </c>
      <c r="F301" s="178"/>
      <c r="G301" s="178"/>
      <c r="H301" s="127"/>
      <c r="I301" s="178"/>
      <c r="J301" s="178"/>
      <c r="K301" s="178"/>
      <c r="L301" s="178"/>
      <c r="M301" s="178"/>
      <c r="N301" s="178"/>
      <c r="O301" s="178"/>
      <c r="P301" s="178"/>
      <c r="Q301" s="178"/>
      <c r="R301" s="178"/>
      <c r="S301" s="178"/>
      <c r="T301" s="178"/>
      <c r="U301" s="178"/>
      <c r="V301" s="410"/>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row>
    <row r="302" spans="1:45" s="21" customFormat="1" x14ac:dyDescent="0.4">
      <c r="A302" s="27"/>
      <c r="B302" s="645"/>
      <c r="C302" s="645"/>
      <c r="D302" s="131" t="s">
        <v>44</v>
      </c>
      <c r="F302" s="178"/>
      <c r="G302" s="178"/>
      <c r="H302" s="127"/>
      <c r="I302" s="178"/>
      <c r="J302" s="178"/>
      <c r="K302" s="178"/>
      <c r="L302" s="178"/>
      <c r="M302" s="178"/>
      <c r="N302" s="178"/>
      <c r="O302" s="178"/>
      <c r="P302" s="178"/>
      <c r="Q302" s="178"/>
      <c r="R302" s="178"/>
      <c r="S302" s="178"/>
      <c r="T302" s="178"/>
      <c r="U302" s="178"/>
      <c r="V302" s="410"/>
      <c r="Z302" s="178"/>
      <c r="AA302" s="178"/>
      <c r="AB302" s="178"/>
      <c r="AC302" s="178"/>
      <c r="AD302" s="178"/>
      <c r="AE302" s="178"/>
      <c r="AF302" s="178"/>
      <c r="AG302" s="178"/>
      <c r="AH302" s="178"/>
      <c r="AI302" s="178"/>
      <c r="AJ302" s="178"/>
      <c r="AK302" s="178"/>
      <c r="AL302" s="178"/>
      <c r="AM302" s="178"/>
      <c r="AN302" s="178"/>
      <c r="AO302" s="178"/>
      <c r="AP302" s="178"/>
      <c r="AQ302" s="178"/>
      <c r="AR302" s="178"/>
      <c r="AS302" s="178"/>
    </row>
    <row r="303" spans="1:45" s="21" customFormat="1" x14ac:dyDescent="0.4">
      <c r="A303" s="27"/>
      <c r="B303" s="645"/>
      <c r="C303" s="645"/>
      <c r="D303" s="131" t="s">
        <v>44</v>
      </c>
      <c r="F303" s="178"/>
      <c r="G303" s="178"/>
      <c r="H303" s="127"/>
      <c r="I303" s="178"/>
      <c r="J303" s="178"/>
      <c r="K303" s="178"/>
      <c r="L303" s="178"/>
      <c r="M303" s="178"/>
      <c r="N303" s="178"/>
      <c r="O303" s="178"/>
      <c r="P303" s="178"/>
      <c r="Q303" s="178"/>
      <c r="R303" s="178"/>
      <c r="S303" s="178"/>
      <c r="T303" s="178"/>
      <c r="U303" s="178"/>
      <c r="V303" s="410"/>
      <c r="Z303" s="178"/>
      <c r="AA303" s="178"/>
      <c r="AB303" s="178"/>
      <c r="AC303" s="178"/>
      <c r="AD303" s="178"/>
      <c r="AE303" s="178"/>
      <c r="AF303" s="178"/>
      <c r="AG303" s="178"/>
      <c r="AH303" s="178"/>
      <c r="AI303" s="178"/>
      <c r="AJ303" s="178"/>
      <c r="AK303" s="178"/>
      <c r="AL303" s="178"/>
      <c r="AM303" s="178"/>
      <c r="AN303" s="178"/>
      <c r="AO303" s="178"/>
      <c r="AP303" s="178"/>
      <c r="AQ303" s="178"/>
      <c r="AR303" s="178"/>
      <c r="AS303" s="178"/>
    </row>
    <row r="304" spans="1:45" s="21" customFormat="1" x14ac:dyDescent="0.4">
      <c r="A304" s="27"/>
      <c r="B304" s="645"/>
      <c r="C304" s="645"/>
      <c r="D304" s="131" t="s">
        <v>44</v>
      </c>
      <c r="F304" s="178"/>
      <c r="G304" s="178"/>
      <c r="H304" s="127"/>
      <c r="I304" s="178"/>
      <c r="J304" s="178"/>
      <c r="K304" s="178"/>
      <c r="L304" s="178"/>
      <c r="M304" s="178"/>
      <c r="N304" s="178"/>
      <c r="O304" s="178"/>
      <c r="P304" s="178"/>
      <c r="Q304" s="178"/>
      <c r="R304" s="178"/>
      <c r="S304" s="178"/>
      <c r="T304" s="178"/>
      <c r="U304" s="178"/>
      <c r="V304" s="410"/>
      <c r="Z304" s="178"/>
      <c r="AA304" s="178"/>
      <c r="AB304" s="178"/>
      <c r="AC304" s="178"/>
      <c r="AD304" s="178"/>
      <c r="AE304" s="178"/>
      <c r="AF304" s="178"/>
      <c r="AG304" s="178"/>
      <c r="AH304" s="178"/>
      <c r="AI304" s="178"/>
      <c r="AJ304" s="178"/>
      <c r="AK304" s="178"/>
      <c r="AL304" s="178"/>
      <c r="AM304" s="178"/>
      <c r="AN304" s="178"/>
      <c r="AO304" s="178"/>
      <c r="AP304" s="178"/>
      <c r="AQ304" s="178"/>
      <c r="AR304" s="178"/>
      <c r="AS304" s="178"/>
    </row>
    <row r="305" spans="1:45" s="21" customFormat="1" x14ac:dyDescent="0.4">
      <c r="A305" s="27"/>
      <c r="B305" s="645"/>
      <c r="C305" s="645"/>
      <c r="D305" s="131" t="s">
        <v>44</v>
      </c>
      <c r="F305" s="178"/>
      <c r="G305" s="178"/>
      <c r="H305" s="127"/>
      <c r="I305" s="178"/>
      <c r="J305" s="178"/>
      <c r="K305" s="178"/>
      <c r="L305" s="178"/>
      <c r="M305" s="178"/>
      <c r="N305" s="178"/>
      <c r="O305" s="178"/>
      <c r="P305" s="178"/>
      <c r="Q305" s="178"/>
      <c r="R305" s="178"/>
      <c r="S305" s="178"/>
      <c r="T305" s="178"/>
      <c r="U305" s="178"/>
      <c r="V305" s="410"/>
      <c r="Z305" s="178"/>
      <c r="AA305" s="178"/>
      <c r="AB305" s="178"/>
      <c r="AC305" s="178"/>
      <c r="AD305" s="178"/>
      <c r="AE305" s="178"/>
      <c r="AF305" s="178"/>
      <c r="AG305" s="178"/>
      <c r="AH305" s="178"/>
      <c r="AI305" s="178"/>
      <c r="AJ305" s="178"/>
      <c r="AK305" s="178"/>
      <c r="AL305" s="178"/>
      <c r="AM305" s="178"/>
      <c r="AN305" s="178"/>
      <c r="AO305" s="178"/>
      <c r="AP305" s="178"/>
      <c r="AQ305" s="178"/>
      <c r="AR305" s="178"/>
      <c r="AS305" s="178"/>
    </row>
    <row r="306" spans="1:45" s="21" customFormat="1" x14ac:dyDescent="0.4">
      <c r="A306" s="27"/>
      <c r="B306" s="645"/>
      <c r="C306" s="645"/>
      <c r="D306" s="131" t="s">
        <v>44</v>
      </c>
      <c r="F306" s="178"/>
      <c r="G306" s="178"/>
      <c r="H306" s="127"/>
      <c r="I306" s="178"/>
      <c r="J306" s="178"/>
      <c r="K306" s="178"/>
      <c r="L306" s="178"/>
      <c r="M306" s="178"/>
      <c r="N306" s="178"/>
      <c r="O306" s="178"/>
      <c r="P306" s="178"/>
      <c r="Q306" s="178"/>
      <c r="R306" s="178"/>
      <c r="S306" s="178"/>
      <c r="T306" s="178"/>
      <c r="U306" s="178"/>
      <c r="V306" s="410"/>
      <c r="Z306" s="178"/>
      <c r="AA306" s="178"/>
      <c r="AB306" s="178"/>
      <c r="AC306" s="178"/>
      <c r="AD306" s="178"/>
      <c r="AE306" s="178"/>
      <c r="AF306" s="178"/>
      <c r="AG306" s="178"/>
      <c r="AH306" s="178"/>
      <c r="AI306" s="178"/>
      <c r="AJ306" s="178"/>
      <c r="AK306" s="178"/>
      <c r="AL306" s="178"/>
      <c r="AM306" s="178"/>
      <c r="AN306" s="178"/>
      <c r="AO306" s="178"/>
      <c r="AP306" s="178"/>
      <c r="AQ306" s="178"/>
      <c r="AR306" s="178"/>
      <c r="AS306" s="178"/>
    </row>
    <row r="307" spans="1:45" s="21" customFormat="1" x14ac:dyDescent="0.4">
      <c r="A307" s="27"/>
      <c r="B307" s="645"/>
      <c r="C307" s="645"/>
      <c r="D307" s="131" t="s">
        <v>44</v>
      </c>
      <c r="F307" s="178"/>
      <c r="G307" s="178"/>
      <c r="H307" s="127"/>
      <c r="I307" s="178"/>
      <c r="J307" s="178"/>
      <c r="K307" s="178"/>
      <c r="L307" s="178"/>
      <c r="M307" s="178"/>
      <c r="N307" s="178"/>
      <c r="O307" s="178"/>
      <c r="P307" s="178"/>
      <c r="Q307" s="178"/>
      <c r="R307" s="178"/>
      <c r="S307" s="178"/>
      <c r="T307" s="178"/>
      <c r="U307" s="178"/>
      <c r="V307" s="410"/>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row>
    <row r="308" spans="1:45" s="21" customFormat="1" x14ac:dyDescent="0.4">
      <c r="A308" s="27"/>
      <c r="B308" s="645"/>
      <c r="C308" s="645"/>
      <c r="D308" s="131" t="s">
        <v>44</v>
      </c>
      <c r="F308" s="178"/>
      <c r="G308" s="178"/>
      <c r="H308" s="127"/>
      <c r="I308" s="178"/>
      <c r="J308" s="178"/>
      <c r="K308" s="178"/>
      <c r="L308" s="178"/>
      <c r="M308" s="178"/>
      <c r="N308" s="178"/>
      <c r="O308" s="178"/>
      <c r="P308" s="178"/>
      <c r="Q308" s="178"/>
      <c r="R308" s="178"/>
      <c r="S308" s="178"/>
      <c r="T308" s="178"/>
      <c r="U308" s="178"/>
      <c r="V308" s="410"/>
      <c r="Z308" s="178"/>
      <c r="AA308" s="178"/>
      <c r="AB308" s="178"/>
      <c r="AC308" s="178"/>
      <c r="AD308" s="178"/>
      <c r="AE308" s="178"/>
      <c r="AF308" s="178"/>
      <c r="AG308" s="178"/>
      <c r="AH308" s="178"/>
      <c r="AI308" s="178"/>
      <c r="AJ308" s="178"/>
      <c r="AK308" s="178"/>
      <c r="AL308" s="178"/>
      <c r="AM308" s="178"/>
      <c r="AN308" s="178"/>
      <c r="AO308" s="178"/>
      <c r="AP308" s="178"/>
      <c r="AQ308" s="178"/>
      <c r="AR308" s="178"/>
      <c r="AS308" s="178"/>
    </row>
    <row r="309" spans="1:45" s="21" customFormat="1" x14ac:dyDescent="0.4">
      <c r="A309" s="27"/>
      <c r="B309" s="645"/>
      <c r="C309" s="645"/>
      <c r="D309" s="131"/>
      <c r="F309" s="178"/>
      <c r="G309" s="178"/>
      <c r="H309" s="127"/>
      <c r="I309" s="178"/>
      <c r="J309" s="178"/>
      <c r="K309" s="178"/>
      <c r="L309" s="178"/>
      <c r="M309" s="178"/>
      <c r="N309" s="178"/>
      <c r="O309" s="178"/>
      <c r="P309" s="178"/>
      <c r="Q309" s="178"/>
      <c r="R309" s="178"/>
      <c r="S309" s="178"/>
      <c r="T309" s="178"/>
      <c r="U309" s="178"/>
      <c r="V309" s="410"/>
      <c r="Z309" s="178"/>
      <c r="AA309" s="178"/>
      <c r="AB309" s="178"/>
      <c r="AC309" s="178"/>
      <c r="AD309" s="178"/>
      <c r="AE309" s="178"/>
      <c r="AF309" s="178"/>
      <c r="AG309" s="178"/>
      <c r="AH309" s="178"/>
      <c r="AI309" s="178"/>
      <c r="AJ309" s="178"/>
      <c r="AK309" s="178"/>
      <c r="AL309" s="178"/>
      <c r="AM309" s="178"/>
      <c r="AN309" s="178"/>
      <c r="AO309" s="178"/>
      <c r="AP309" s="178"/>
      <c r="AQ309" s="178"/>
      <c r="AR309" s="178"/>
      <c r="AS309" s="178"/>
    </row>
    <row r="310" spans="1:45" s="21" customFormat="1" x14ac:dyDescent="0.4">
      <c r="A310" s="27"/>
      <c r="B310" s="645"/>
      <c r="C310" s="645"/>
      <c r="D310" s="131"/>
      <c r="F310" s="178"/>
      <c r="G310" s="178"/>
      <c r="H310" s="127"/>
      <c r="I310" s="178"/>
      <c r="J310" s="178"/>
      <c r="K310" s="178"/>
      <c r="L310" s="178"/>
      <c r="M310" s="178"/>
      <c r="N310" s="178"/>
      <c r="O310" s="178"/>
      <c r="P310" s="178"/>
      <c r="Q310" s="178"/>
      <c r="R310" s="178"/>
      <c r="S310" s="178"/>
      <c r="T310" s="178"/>
      <c r="U310" s="178"/>
      <c r="V310" s="410"/>
      <c r="Z310" s="178"/>
      <c r="AA310" s="178"/>
      <c r="AB310" s="178"/>
      <c r="AC310" s="178"/>
      <c r="AD310" s="178"/>
      <c r="AE310" s="178"/>
      <c r="AF310" s="178"/>
      <c r="AG310" s="178"/>
      <c r="AH310" s="178"/>
      <c r="AI310" s="178"/>
      <c r="AJ310" s="178"/>
      <c r="AK310" s="178"/>
      <c r="AL310" s="178"/>
      <c r="AM310" s="178"/>
      <c r="AN310" s="178"/>
      <c r="AO310" s="178"/>
      <c r="AP310" s="178"/>
      <c r="AQ310" s="178"/>
      <c r="AR310" s="178"/>
      <c r="AS310" s="178"/>
    </row>
    <row r="311" spans="1:45" s="21" customFormat="1" x14ac:dyDescent="0.4">
      <c r="A311" s="27"/>
      <c r="B311" s="645"/>
      <c r="C311" s="645"/>
      <c r="D311" s="131"/>
      <c r="F311" s="178"/>
      <c r="G311" s="178"/>
      <c r="H311" s="127"/>
      <c r="I311" s="178"/>
      <c r="J311" s="178"/>
      <c r="K311" s="178"/>
      <c r="L311" s="178"/>
      <c r="M311" s="178"/>
      <c r="N311" s="178"/>
      <c r="O311" s="178"/>
      <c r="P311" s="178"/>
      <c r="Q311" s="178"/>
      <c r="R311" s="178"/>
      <c r="S311" s="178"/>
      <c r="T311" s="178"/>
      <c r="U311" s="178"/>
      <c r="V311" s="410"/>
      <c r="Z311" s="178"/>
      <c r="AA311" s="178"/>
      <c r="AB311" s="178"/>
      <c r="AC311" s="178"/>
      <c r="AD311" s="178"/>
      <c r="AE311" s="178"/>
      <c r="AF311" s="178"/>
      <c r="AG311" s="178"/>
      <c r="AH311" s="178"/>
      <c r="AI311" s="178"/>
      <c r="AJ311" s="178"/>
      <c r="AK311" s="178"/>
      <c r="AL311" s="178"/>
      <c r="AM311" s="178"/>
      <c r="AN311" s="178"/>
      <c r="AO311" s="178"/>
      <c r="AP311" s="178"/>
      <c r="AQ311" s="178"/>
      <c r="AR311" s="178"/>
      <c r="AS311" s="178"/>
    </row>
    <row r="312" spans="1:45" s="21" customFormat="1" x14ac:dyDescent="0.4">
      <c r="A312" s="27"/>
      <c r="B312" s="645"/>
      <c r="C312" s="645"/>
      <c r="D312" s="131"/>
      <c r="F312" s="178"/>
      <c r="G312" s="178"/>
      <c r="H312" s="127"/>
      <c r="I312" s="178"/>
      <c r="J312" s="178"/>
      <c r="K312" s="178"/>
      <c r="L312" s="178"/>
      <c r="M312" s="178"/>
      <c r="N312" s="178"/>
      <c r="O312" s="178"/>
      <c r="P312" s="178"/>
      <c r="Q312" s="178"/>
      <c r="R312" s="178"/>
      <c r="S312" s="178"/>
      <c r="T312" s="178"/>
      <c r="U312" s="178"/>
      <c r="V312" s="410"/>
      <c r="Z312" s="178"/>
      <c r="AA312" s="178"/>
      <c r="AB312" s="178"/>
      <c r="AC312" s="178"/>
      <c r="AD312" s="178"/>
      <c r="AE312" s="178"/>
      <c r="AF312" s="178"/>
      <c r="AG312" s="178"/>
      <c r="AH312" s="178"/>
      <c r="AI312" s="178"/>
      <c r="AJ312" s="178"/>
      <c r="AK312" s="178"/>
      <c r="AL312" s="178"/>
      <c r="AM312" s="178"/>
      <c r="AN312" s="178"/>
      <c r="AO312" s="178"/>
      <c r="AP312" s="178"/>
      <c r="AQ312" s="178"/>
      <c r="AR312" s="178"/>
      <c r="AS312" s="178"/>
    </row>
    <row r="313" spans="1:45" s="21" customFormat="1" x14ac:dyDescent="0.4">
      <c r="A313" s="27"/>
      <c r="B313" s="645"/>
      <c r="C313" s="645"/>
      <c r="D313" s="131"/>
      <c r="F313" s="178"/>
      <c r="G313" s="178"/>
      <c r="H313" s="127"/>
      <c r="I313" s="178"/>
      <c r="J313" s="178"/>
      <c r="K313" s="178"/>
      <c r="L313" s="178"/>
      <c r="M313" s="178"/>
      <c r="N313" s="178"/>
      <c r="O313" s="178"/>
      <c r="P313" s="178"/>
      <c r="Q313" s="178"/>
      <c r="R313" s="178"/>
      <c r="S313" s="178"/>
      <c r="T313" s="178"/>
      <c r="U313" s="178"/>
      <c r="V313" s="410"/>
      <c r="Z313" s="178"/>
      <c r="AA313" s="178"/>
      <c r="AB313" s="178"/>
      <c r="AC313" s="178"/>
      <c r="AD313" s="178"/>
      <c r="AE313" s="178"/>
      <c r="AF313" s="178"/>
      <c r="AG313" s="178"/>
      <c r="AH313" s="178"/>
      <c r="AI313" s="178"/>
      <c r="AJ313" s="178"/>
      <c r="AK313" s="178"/>
      <c r="AL313" s="178"/>
      <c r="AM313" s="178"/>
      <c r="AN313" s="178"/>
      <c r="AO313" s="178"/>
      <c r="AP313" s="178"/>
      <c r="AQ313" s="178"/>
      <c r="AR313" s="178"/>
      <c r="AS313" s="178"/>
    </row>
    <row r="314" spans="1:45" s="21" customFormat="1" x14ac:dyDescent="0.4">
      <c r="A314" s="27"/>
      <c r="B314" s="645"/>
      <c r="C314" s="645"/>
      <c r="D314" s="131"/>
      <c r="F314" s="178"/>
      <c r="G314" s="178"/>
      <c r="H314" s="127"/>
      <c r="I314" s="178"/>
      <c r="J314" s="178"/>
      <c r="K314" s="178"/>
      <c r="L314" s="178"/>
      <c r="M314" s="178"/>
      <c r="N314" s="178"/>
      <c r="O314" s="178"/>
      <c r="P314" s="178"/>
      <c r="Q314" s="178"/>
      <c r="R314" s="178"/>
      <c r="S314" s="178"/>
      <c r="T314" s="178"/>
      <c r="U314" s="178"/>
      <c r="V314" s="410"/>
      <c r="Z314" s="178"/>
      <c r="AA314" s="178"/>
      <c r="AB314" s="178"/>
      <c r="AC314" s="178"/>
      <c r="AD314" s="178"/>
      <c r="AE314" s="178"/>
      <c r="AF314" s="178"/>
      <c r="AG314" s="178"/>
      <c r="AH314" s="178"/>
      <c r="AI314" s="178"/>
      <c r="AJ314" s="178"/>
      <c r="AK314" s="178"/>
      <c r="AL314" s="178"/>
      <c r="AM314" s="178"/>
      <c r="AN314" s="178"/>
      <c r="AO314" s="178"/>
      <c r="AP314" s="178"/>
      <c r="AQ314" s="178"/>
      <c r="AR314" s="178"/>
      <c r="AS314" s="178"/>
    </row>
    <row r="315" spans="1:45" s="21" customFormat="1" x14ac:dyDescent="0.4">
      <c r="A315" s="27"/>
      <c r="B315" s="645"/>
      <c r="C315" s="645"/>
      <c r="D315" s="131"/>
      <c r="F315" s="178"/>
      <c r="G315" s="178"/>
      <c r="H315" s="127"/>
      <c r="I315" s="178"/>
      <c r="J315" s="178"/>
      <c r="K315" s="178"/>
      <c r="L315" s="178"/>
      <c r="M315" s="178"/>
      <c r="N315" s="178"/>
      <c r="O315" s="178"/>
      <c r="P315" s="178"/>
      <c r="Q315" s="178"/>
      <c r="R315" s="178"/>
      <c r="S315" s="178"/>
      <c r="T315" s="178"/>
      <c r="U315" s="178"/>
      <c r="V315" s="410"/>
      <c r="Z315" s="178"/>
      <c r="AA315" s="178"/>
      <c r="AB315" s="178"/>
      <c r="AC315" s="178"/>
      <c r="AD315" s="178"/>
      <c r="AE315" s="178"/>
      <c r="AF315" s="178"/>
      <c r="AG315" s="178"/>
      <c r="AH315" s="178"/>
      <c r="AI315" s="178"/>
      <c r="AJ315" s="178"/>
      <c r="AK315" s="178"/>
      <c r="AL315" s="178"/>
      <c r="AM315" s="178"/>
      <c r="AN315" s="178"/>
      <c r="AO315" s="178"/>
      <c r="AP315" s="178"/>
      <c r="AQ315" s="178"/>
      <c r="AR315" s="178"/>
      <c r="AS315" s="178"/>
    </row>
    <row r="316" spans="1:45" s="21" customFormat="1" x14ac:dyDescent="0.4">
      <c r="A316" s="27"/>
      <c r="B316" s="645"/>
      <c r="C316" s="645"/>
      <c r="D316" s="131"/>
      <c r="F316" s="178"/>
      <c r="G316" s="178"/>
      <c r="H316" s="127"/>
      <c r="I316" s="178"/>
      <c r="J316" s="178"/>
      <c r="K316" s="178"/>
      <c r="L316" s="178"/>
      <c r="M316" s="178"/>
      <c r="N316" s="178"/>
      <c r="O316" s="178"/>
      <c r="P316" s="178"/>
      <c r="Q316" s="178"/>
      <c r="R316" s="178"/>
      <c r="S316" s="178"/>
      <c r="T316" s="178"/>
      <c r="U316" s="178"/>
      <c r="V316" s="410"/>
      <c r="Z316" s="178"/>
      <c r="AA316" s="178"/>
      <c r="AB316" s="178"/>
      <c r="AC316" s="178"/>
      <c r="AD316" s="178"/>
      <c r="AE316" s="178"/>
      <c r="AF316" s="178"/>
      <c r="AG316" s="178"/>
      <c r="AH316" s="178"/>
      <c r="AI316" s="178"/>
      <c r="AJ316" s="178"/>
      <c r="AK316" s="178"/>
      <c r="AL316" s="178"/>
      <c r="AM316" s="178"/>
      <c r="AN316" s="178"/>
      <c r="AO316" s="178"/>
      <c r="AP316" s="178"/>
      <c r="AQ316" s="178"/>
      <c r="AR316" s="178"/>
      <c r="AS316" s="178"/>
    </row>
    <row r="317" spans="1:45" s="21" customFormat="1" x14ac:dyDescent="0.4">
      <c r="A317" s="27"/>
      <c r="B317" s="645"/>
      <c r="C317" s="645"/>
      <c r="D317" s="131"/>
      <c r="F317" s="178"/>
      <c r="G317" s="178"/>
      <c r="H317" s="127"/>
      <c r="I317" s="178"/>
      <c r="J317" s="178"/>
      <c r="K317" s="178"/>
      <c r="L317" s="178"/>
      <c r="M317" s="178"/>
      <c r="N317" s="178"/>
      <c r="O317" s="178"/>
      <c r="P317" s="178"/>
      <c r="Q317" s="178"/>
      <c r="R317" s="178"/>
      <c r="S317" s="178"/>
      <c r="T317" s="178"/>
      <c r="U317" s="178"/>
      <c r="V317" s="410"/>
      <c r="Z317" s="178"/>
      <c r="AA317" s="178"/>
      <c r="AB317" s="178"/>
      <c r="AC317" s="178"/>
      <c r="AD317" s="178"/>
      <c r="AE317" s="178"/>
      <c r="AF317" s="178"/>
      <c r="AG317" s="178"/>
      <c r="AH317" s="178"/>
      <c r="AI317" s="178"/>
      <c r="AJ317" s="178"/>
      <c r="AK317" s="178"/>
      <c r="AL317" s="178"/>
      <c r="AM317" s="178"/>
      <c r="AN317" s="178"/>
      <c r="AO317" s="178"/>
      <c r="AP317" s="178"/>
      <c r="AQ317" s="178"/>
      <c r="AR317" s="178"/>
      <c r="AS317" s="178"/>
    </row>
    <row r="318" spans="1:45" s="21" customFormat="1" x14ac:dyDescent="0.4">
      <c r="A318" s="27"/>
      <c r="B318" s="645"/>
      <c r="C318" s="645"/>
      <c r="D318" s="131"/>
      <c r="F318" s="178"/>
      <c r="G318" s="178"/>
      <c r="H318" s="127"/>
      <c r="I318" s="178"/>
      <c r="J318" s="178"/>
      <c r="K318" s="178"/>
      <c r="L318" s="178"/>
      <c r="M318" s="178"/>
      <c r="N318" s="178"/>
      <c r="O318" s="178"/>
      <c r="P318" s="178"/>
      <c r="Q318" s="178"/>
      <c r="R318" s="178"/>
      <c r="S318" s="178"/>
      <c r="T318" s="178"/>
      <c r="U318" s="178"/>
      <c r="V318" s="410"/>
      <c r="Z318" s="178"/>
      <c r="AA318" s="178"/>
      <c r="AB318" s="178"/>
      <c r="AC318" s="178"/>
      <c r="AD318" s="178"/>
      <c r="AE318" s="178"/>
      <c r="AF318" s="178"/>
      <c r="AG318" s="178"/>
      <c r="AH318" s="178"/>
      <c r="AI318" s="178"/>
      <c r="AJ318" s="178"/>
      <c r="AK318" s="178"/>
      <c r="AL318" s="178"/>
      <c r="AM318" s="178"/>
      <c r="AN318" s="178"/>
      <c r="AO318" s="178"/>
      <c r="AP318" s="178"/>
      <c r="AQ318" s="178"/>
      <c r="AR318" s="178"/>
      <c r="AS318" s="178"/>
    </row>
    <row r="319" spans="1:45" s="21" customFormat="1" x14ac:dyDescent="0.4">
      <c r="A319" s="27"/>
      <c r="B319" s="645"/>
      <c r="C319" s="645"/>
      <c r="D319" s="131"/>
      <c r="F319" s="178"/>
      <c r="G319" s="178"/>
      <c r="H319" s="127"/>
      <c r="I319" s="178"/>
      <c r="J319" s="178"/>
      <c r="K319" s="178"/>
      <c r="L319" s="178"/>
      <c r="M319" s="178"/>
      <c r="N319" s="178"/>
      <c r="O319" s="178"/>
      <c r="P319" s="178"/>
      <c r="Q319" s="178"/>
      <c r="R319" s="178"/>
      <c r="S319" s="178"/>
      <c r="T319" s="178"/>
      <c r="U319" s="178"/>
      <c r="V319" s="410"/>
      <c r="Z319" s="178"/>
      <c r="AA319" s="178"/>
      <c r="AB319" s="178"/>
      <c r="AC319" s="178"/>
      <c r="AD319" s="178"/>
      <c r="AE319" s="178"/>
      <c r="AF319" s="178"/>
      <c r="AG319" s="178"/>
      <c r="AH319" s="178"/>
      <c r="AI319" s="178"/>
      <c r="AJ319" s="178"/>
      <c r="AK319" s="178"/>
      <c r="AL319" s="178"/>
      <c r="AM319" s="178"/>
      <c r="AN319" s="178"/>
      <c r="AO319" s="178"/>
      <c r="AP319" s="178"/>
      <c r="AQ319" s="178"/>
      <c r="AR319" s="178"/>
      <c r="AS319" s="178"/>
    </row>
    <row r="320" spans="1:45" s="21" customFormat="1" x14ac:dyDescent="0.4">
      <c r="A320" s="27"/>
      <c r="B320" s="645"/>
      <c r="C320" s="645"/>
      <c r="D320" s="131"/>
      <c r="F320" s="178"/>
      <c r="G320" s="178"/>
      <c r="H320" s="127"/>
      <c r="I320" s="178"/>
      <c r="J320" s="178"/>
      <c r="K320" s="178"/>
      <c r="L320" s="178"/>
      <c r="M320" s="178"/>
      <c r="N320" s="178"/>
      <c r="O320" s="178"/>
      <c r="P320" s="178"/>
      <c r="Q320" s="178"/>
      <c r="R320" s="178"/>
      <c r="S320" s="178"/>
      <c r="T320" s="178"/>
      <c r="U320" s="178"/>
      <c r="V320" s="410"/>
      <c r="Z320" s="178"/>
      <c r="AA320" s="178"/>
      <c r="AB320" s="178"/>
      <c r="AC320" s="178"/>
      <c r="AD320" s="178"/>
      <c r="AE320" s="178"/>
      <c r="AF320" s="178"/>
      <c r="AG320" s="178"/>
      <c r="AH320" s="178"/>
      <c r="AI320" s="178"/>
      <c r="AJ320" s="178"/>
      <c r="AK320" s="178"/>
      <c r="AL320" s="178"/>
      <c r="AM320" s="178"/>
      <c r="AN320" s="178"/>
      <c r="AO320" s="178"/>
      <c r="AP320" s="178"/>
      <c r="AQ320" s="178"/>
      <c r="AR320" s="178"/>
      <c r="AS320" s="178"/>
    </row>
    <row r="321" spans="1:45" s="21" customFormat="1" x14ac:dyDescent="0.4">
      <c r="A321" s="27"/>
      <c r="B321" s="645"/>
      <c r="C321" s="645"/>
      <c r="D321" s="131"/>
      <c r="F321" s="178"/>
      <c r="G321" s="178"/>
      <c r="H321" s="127"/>
      <c r="I321" s="178"/>
      <c r="J321" s="178"/>
      <c r="K321" s="178"/>
      <c r="L321" s="178"/>
      <c r="M321" s="178"/>
      <c r="N321" s="178"/>
      <c r="O321" s="178"/>
      <c r="P321" s="178"/>
      <c r="Q321" s="178"/>
      <c r="R321" s="178"/>
      <c r="S321" s="178"/>
      <c r="T321" s="178"/>
      <c r="U321" s="178"/>
      <c r="V321" s="410"/>
      <c r="Z321" s="178"/>
      <c r="AA321" s="178"/>
      <c r="AB321" s="178"/>
      <c r="AC321" s="178"/>
      <c r="AD321" s="178"/>
      <c r="AE321" s="178"/>
      <c r="AF321" s="178"/>
      <c r="AG321" s="178"/>
      <c r="AH321" s="178"/>
      <c r="AI321" s="178"/>
      <c r="AJ321" s="178"/>
      <c r="AK321" s="178"/>
      <c r="AL321" s="178"/>
      <c r="AM321" s="178"/>
      <c r="AN321" s="178"/>
      <c r="AO321" s="178"/>
      <c r="AP321" s="178"/>
      <c r="AQ321" s="178"/>
      <c r="AR321" s="178"/>
      <c r="AS321" s="178"/>
    </row>
    <row r="322" spans="1:45" s="21" customFormat="1" x14ac:dyDescent="0.4">
      <c r="A322" s="27"/>
      <c r="B322" s="645"/>
      <c r="C322" s="645"/>
      <c r="D322" s="131"/>
      <c r="F322" s="178"/>
      <c r="G322" s="178"/>
      <c r="H322" s="127"/>
      <c r="I322" s="178"/>
      <c r="J322" s="178"/>
      <c r="K322" s="178"/>
      <c r="L322" s="178"/>
      <c r="M322" s="178"/>
      <c r="N322" s="178"/>
      <c r="O322" s="178"/>
      <c r="P322" s="178"/>
      <c r="Q322" s="178"/>
      <c r="R322" s="178"/>
      <c r="S322" s="178"/>
      <c r="T322" s="178"/>
      <c r="U322" s="178"/>
      <c r="V322" s="410"/>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row>
    <row r="323" spans="1:45" s="21" customFormat="1" x14ac:dyDescent="0.4">
      <c r="A323" s="27"/>
      <c r="B323" s="645"/>
      <c r="C323" s="645"/>
      <c r="D323" s="131"/>
      <c r="F323" s="178"/>
      <c r="G323" s="178"/>
      <c r="H323" s="127"/>
      <c r="I323" s="178"/>
      <c r="J323" s="178"/>
      <c r="K323" s="178"/>
      <c r="L323" s="178"/>
      <c r="M323" s="178"/>
      <c r="N323" s="178"/>
      <c r="O323" s="178"/>
      <c r="P323" s="178"/>
      <c r="Q323" s="178"/>
      <c r="R323" s="178"/>
      <c r="S323" s="178"/>
      <c r="T323" s="178"/>
      <c r="U323" s="178"/>
      <c r="V323" s="410"/>
      <c r="Z323" s="178"/>
      <c r="AA323" s="178"/>
      <c r="AB323" s="178"/>
      <c r="AC323" s="178"/>
      <c r="AD323" s="178"/>
      <c r="AE323" s="178"/>
      <c r="AF323" s="178"/>
      <c r="AG323" s="178"/>
      <c r="AH323" s="178"/>
      <c r="AI323" s="178"/>
      <c r="AJ323" s="178"/>
      <c r="AK323" s="178"/>
      <c r="AL323" s="178"/>
      <c r="AM323" s="178"/>
      <c r="AN323" s="178"/>
      <c r="AO323" s="178"/>
      <c r="AP323" s="178"/>
      <c r="AQ323" s="178"/>
      <c r="AR323" s="178"/>
      <c r="AS323" s="178"/>
    </row>
    <row r="324" spans="1:45" s="21" customFormat="1" x14ac:dyDescent="0.4">
      <c r="A324" s="27"/>
      <c r="B324" s="645"/>
      <c r="C324" s="645"/>
      <c r="D324" s="131"/>
      <c r="F324" s="178"/>
      <c r="G324" s="178"/>
      <c r="H324" s="127"/>
      <c r="I324" s="178"/>
      <c r="J324" s="178"/>
      <c r="K324" s="178"/>
      <c r="L324" s="178"/>
      <c r="M324" s="178"/>
      <c r="N324" s="178"/>
      <c r="O324" s="178"/>
      <c r="P324" s="178"/>
      <c r="Q324" s="178"/>
      <c r="R324" s="178"/>
      <c r="S324" s="178"/>
      <c r="T324" s="178"/>
      <c r="U324" s="178"/>
      <c r="V324" s="410"/>
      <c r="Z324" s="178"/>
      <c r="AA324" s="178"/>
      <c r="AB324" s="178"/>
      <c r="AC324" s="178"/>
      <c r="AD324" s="178"/>
      <c r="AE324" s="178"/>
      <c r="AF324" s="178"/>
      <c r="AG324" s="178"/>
      <c r="AH324" s="178"/>
      <c r="AI324" s="178"/>
      <c r="AJ324" s="178"/>
      <c r="AK324" s="178"/>
      <c r="AL324" s="178"/>
      <c r="AM324" s="178"/>
      <c r="AN324" s="178"/>
      <c r="AO324" s="178"/>
      <c r="AP324" s="178"/>
      <c r="AQ324" s="178"/>
      <c r="AR324" s="178"/>
      <c r="AS324" s="178"/>
    </row>
    <row r="325" spans="1:45" s="21" customFormat="1" x14ac:dyDescent="0.4">
      <c r="A325" s="27"/>
      <c r="B325" s="645"/>
      <c r="C325" s="645"/>
      <c r="D325" s="131"/>
      <c r="F325" s="178"/>
      <c r="G325" s="178"/>
      <c r="H325" s="127"/>
      <c r="I325" s="178"/>
      <c r="J325" s="178"/>
      <c r="K325" s="178"/>
      <c r="L325" s="178"/>
      <c r="M325" s="178"/>
      <c r="N325" s="178"/>
      <c r="O325" s="178"/>
      <c r="P325" s="178"/>
      <c r="Q325" s="178"/>
      <c r="R325" s="178"/>
      <c r="S325" s="178"/>
      <c r="T325" s="178"/>
      <c r="U325" s="178"/>
      <c r="V325" s="410"/>
      <c r="Z325" s="178"/>
      <c r="AA325" s="178"/>
      <c r="AB325" s="178"/>
      <c r="AC325" s="178"/>
      <c r="AD325" s="178"/>
      <c r="AE325" s="178"/>
      <c r="AF325" s="178"/>
      <c r="AG325" s="178"/>
      <c r="AH325" s="178"/>
      <c r="AI325" s="178"/>
      <c r="AJ325" s="178"/>
      <c r="AK325" s="178"/>
      <c r="AL325" s="178"/>
      <c r="AM325" s="178"/>
      <c r="AN325" s="178"/>
      <c r="AO325" s="178"/>
      <c r="AP325" s="178"/>
      <c r="AQ325" s="178"/>
      <c r="AR325" s="178"/>
      <c r="AS325" s="178"/>
    </row>
    <row r="326" spans="1:45" s="21" customFormat="1" x14ac:dyDescent="0.4">
      <c r="A326" s="27"/>
      <c r="B326" s="645"/>
      <c r="C326" s="645"/>
      <c r="D326" s="131"/>
      <c r="F326" s="178"/>
      <c r="G326" s="178"/>
      <c r="H326" s="127"/>
      <c r="I326" s="178"/>
      <c r="J326" s="178"/>
      <c r="K326" s="178"/>
      <c r="L326" s="178"/>
      <c r="M326" s="178"/>
      <c r="N326" s="178"/>
      <c r="O326" s="178"/>
      <c r="P326" s="178"/>
      <c r="Q326" s="178"/>
      <c r="R326" s="178"/>
      <c r="S326" s="178"/>
      <c r="T326" s="178"/>
      <c r="U326" s="178"/>
      <c r="V326" s="410"/>
      <c r="Z326" s="178"/>
      <c r="AA326" s="178"/>
      <c r="AB326" s="178"/>
      <c r="AC326" s="178"/>
      <c r="AD326" s="178"/>
      <c r="AE326" s="178"/>
      <c r="AF326" s="178"/>
      <c r="AG326" s="178"/>
      <c r="AH326" s="178"/>
      <c r="AI326" s="178"/>
      <c r="AJ326" s="178"/>
      <c r="AK326" s="178"/>
      <c r="AL326" s="178"/>
      <c r="AM326" s="178"/>
      <c r="AN326" s="178"/>
      <c r="AO326" s="178"/>
      <c r="AP326" s="178"/>
      <c r="AQ326" s="178"/>
      <c r="AR326" s="178"/>
      <c r="AS326" s="178"/>
    </row>
    <row r="327" spans="1:45" s="21" customFormat="1" x14ac:dyDescent="0.4">
      <c r="A327" s="27"/>
      <c r="B327" s="645"/>
      <c r="C327" s="645"/>
      <c r="D327" s="131"/>
      <c r="F327" s="178"/>
      <c r="G327" s="178"/>
      <c r="H327" s="127"/>
      <c r="I327" s="178"/>
      <c r="J327" s="178"/>
      <c r="K327" s="178"/>
      <c r="L327" s="178"/>
      <c r="M327" s="178"/>
      <c r="N327" s="178"/>
      <c r="O327" s="178"/>
      <c r="P327" s="178"/>
      <c r="Q327" s="178"/>
      <c r="R327" s="178"/>
      <c r="S327" s="178"/>
      <c r="T327" s="178"/>
      <c r="U327" s="178"/>
      <c r="V327" s="410"/>
      <c r="Z327" s="178"/>
      <c r="AA327" s="178"/>
      <c r="AB327" s="178"/>
      <c r="AC327" s="178"/>
      <c r="AD327" s="178"/>
      <c r="AE327" s="178"/>
      <c r="AF327" s="178"/>
      <c r="AG327" s="178"/>
      <c r="AH327" s="178"/>
      <c r="AI327" s="178"/>
      <c r="AJ327" s="178"/>
      <c r="AK327" s="178"/>
      <c r="AL327" s="178"/>
      <c r="AM327" s="178"/>
      <c r="AN327" s="178"/>
      <c r="AO327" s="178"/>
      <c r="AP327" s="178"/>
      <c r="AQ327" s="178"/>
      <c r="AR327" s="178"/>
      <c r="AS327" s="178"/>
    </row>
    <row r="328" spans="1:45" s="21" customFormat="1" x14ac:dyDescent="0.4">
      <c r="A328" s="27"/>
      <c r="B328" s="645"/>
      <c r="C328" s="645"/>
      <c r="D328" s="131"/>
      <c r="F328" s="178"/>
      <c r="G328" s="178"/>
      <c r="H328" s="127"/>
      <c r="I328" s="178"/>
      <c r="J328" s="178"/>
      <c r="K328" s="178"/>
      <c r="L328" s="178"/>
      <c r="M328" s="178"/>
      <c r="N328" s="178"/>
      <c r="O328" s="178"/>
      <c r="P328" s="178"/>
      <c r="Q328" s="178"/>
      <c r="R328" s="178"/>
      <c r="S328" s="178"/>
      <c r="T328" s="178"/>
      <c r="U328" s="178"/>
      <c r="V328" s="410"/>
      <c r="Z328" s="178"/>
      <c r="AA328" s="178"/>
      <c r="AB328" s="178"/>
      <c r="AC328" s="178"/>
      <c r="AD328" s="178"/>
      <c r="AE328" s="178"/>
      <c r="AF328" s="178"/>
      <c r="AG328" s="178"/>
      <c r="AH328" s="178"/>
      <c r="AI328" s="178"/>
      <c r="AJ328" s="178"/>
      <c r="AK328" s="178"/>
      <c r="AL328" s="178"/>
      <c r="AM328" s="178"/>
      <c r="AN328" s="178"/>
      <c r="AO328" s="178"/>
      <c r="AP328" s="178"/>
      <c r="AQ328" s="178"/>
      <c r="AR328" s="178"/>
      <c r="AS328" s="178"/>
    </row>
    <row r="329" spans="1:45" s="21" customFormat="1" x14ac:dyDescent="0.4">
      <c r="A329" s="27"/>
      <c r="B329" s="645"/>
      <c r="C329" s="645"/>
      <c r="D329" s="131"/>
      <c r="F329" s="178"/>
      <c r="G329" s="178"/>
      <c r="H329" s="127"/>
      <c r="I329" s="178"/>
      <c r="J329" s="178"/>
      <c r="K329" s="178"/>
      <c r="L329" s="178"/>
      <c r="M329" s="178"/>
      <c r="N329" s="178"/>
      <c r="O329" s="178"/>
      <c r="P329" s="178"/>
      <c r="Q329" s="178"/>
      <c r="R329" s="178"/>
      <c r="S329" s="178"/>
      <c r="T329" s="178"/>
      <c r="U329" s="178"/>
      <c r="V329" s="410"/>
      <c r="Z329" s="178"/>
      <c r="AA329" s="178"/>
      <c r="AB329" s="178"/>
      <c r="AC329" s="178"/>
      <c r="AD329" s="178"/>
      <c r="AE329" s="178"/>
      <c r="AF329" s="178"/>
      <c r="AG329" s="178"/>
      <c r="AH329" s="178"/>
      <c r="AI329" s="178"/>
      <c r="AJ329" s="178"/>
      <c r="AK329" s="178"/>
      <c r="AL329" s="178"/>
      <c r="AM329" s="178"/>
      <c r="AN329" s="178"/>
      <c r="AO329" s="178"/>
      <c r="AP329" s="178"/>
      <c r="AQ329" s="178"/>
      <c r="AR329" s="178"/>
      <c r="AS329" s="178"/>
    </row>
    <row r="330" spans="1:45" s="21" customFormat="1" x14ac:dyDescent="0.4">
      <c r="A330" s="27"/>
      <c r="B330" s="645"/>
      <c r="C330" s="645"/>
      <c r="D330" s="131"/>
      <c r="F330" s="178"/>
      <c r="G330" s="178"/>
      <c r="H330" s="127"/>
      <c r="I330" s="178"/>
      <c r="J330" s="178"/>
      <c r="K330" s="178"/>
      <c r="L330" s="178"/>
      <c r="M330" s="178"/>
      <c r="N330" s="178"/>
      <c r="O330" s="178"/>
      <c r="P330" s="178"/>
      <c r="Q330" s="178"/>
      <c r="R330" s="178"/>
      <c r="S330" s="178"/>
      <c r="T330" s="178"/>
      <c r="U330" s="178"/>
      <c r="V330" s="410"/>
      <c r="Z330" s="178"/>
      <c r="AA330" s="178"/>
      <c r="AB330" s="178"/>
      <c r="AC330" s="178"/>
      <c r="AD330" s="178"/>
      <c r="AE330" s="178"/>
      <c r="AF330" s="178"/>
      <c r="AG330" s="178"/>
      <c r="AH330" s="178"/>
      <c r="AI330" s="178"/>
      <c r="AJ330" s="178"/>
      <c r="AK330" s="178"/>
      <c r="AL330" s="178"/>
      <c r="AM330" s="178"/>
      <c r="AN330" s="178"/>
      <c r="AO330" s="178"/>
      <c r="AP330" s="178"/>
      <c r="AQ330" s="178"/>
      <c r="AR330" s="178"/>
      <c r="AS330" s="178"/>
    </row>
    <row r="331" spans="1:45" s="734" customFormat="1" ht="27" customHeight="1" x14ac:dyDescent="0.4">
      <c r="A331" s="733"/>
      <c r="B331" s="733"/>
      <c r="C331" s="733"/>
      <c r="E331" s="734" t="str">
        <f>UPPER('Talnagögn | Numerical Data'!$E$14)</f>
        <v>LOSUNARSPÁ: SVIÐSMYND BYGGÐ Á AÐGERÐUM STJÓRNVALDA</v>
      </c>
      <c r="F331" s="735"/>
      <c r="G331" s="735"/>
      <c r="H331" s="735"/>
      <c r="I331" s="735"/>
      <c r="J331" s="735"/>
      <c r="K331" s="735"/>
      <c r="L331" s="735"/>
      <c r="M331" s="735"/>
      <c r="N331" s="735"/>
      <c r="O331" s="735"/>
      <c r="P331" s="735"/>
      <c r="Q331" s="735"/>
      <c r="R331" s="735"/>
      <c r="S331" s="735"/>
      <c r="T331" s="735"/>
      <c r="U331" s="735"/>
      <c r="V331" s="736"/>
      <c r="Y331" s="734" t="str">
        <f>UPPER('Talnagögn | Numerical Data'!$G$14)</f>
        <v>EMISSION PROJECTIONS: GOVERNMENT POLICY-BASED SCENARIO</v>
      </c>
      <c r="Z331" s="735"/>
      <c r="AA331" s="735"/>
      <c r="AB331" s="735"/>
      <c r="AC331" s="735"/>
      <c r="AD331" s="735"/>
      <c r="AE331" s="735"/>
      <c r="AF331" s="735"/>
      <c r="AG331" s="735"/>
      <c r="AH331" s="735"/>
      <c r="AI331" s="735"/>
      <c r="AJ331" s="735"/>
      <c r="AK331" s="735"/>
      <c r="AL331" s="735"/>
      <c r="AM331" s="735"/>
      <c r="AN331" s="735"/>
      <c r="AO331" s="735"/>
      <c r="AP331" s="735"/>
      <c r="AQ331" s="735"/>
      <c r="AR331" s="735"/>
      <c r="AS331" s="735"/>
    </row>
    <row r="332" spans="1:45" s="21" customFormat="1" x14ac:dyDescent="0.4">
      <c r="A332" s="27"/>
      <c r="B332" s="645"/>
      <c r="C332" s="645"/>
      <c r="D332" s="131" t="s">
        <v>44</v>
      </c>
      <c r="F332" s="178"/>
      <c r="G332" s="178"/>
      <c r="H332" s="127"/>
      <c r="I332" s="178"/>
      <c r="J332" s="178"/>
      <c r="K332" s="178"/>
      <c r="L332" s="178"/>
      <c r="M332" s="178"/>
      <c r="N332" s="178"/>
      <c r="O332" s="178"/>
      <c r="P332" s="178"/>
      <c r="Q332" s="178"/>
      <c r="R332" s="178"/>
      <c r="S332" s="178"/>
      <c r="T332" s="178"/>
      <c r="U332" s="178"/>
      <c r="V332" s="410"/>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row>
    <row r="333" spans="1:45" s="21" customFormat="1" x14ac:dyDescent="0.4">
      <c r="A333" s="27"/>
      <c r="B333" s="645"/>
      <c r="C333" s="645"/>
      <c r="D333" s="131" t="s">
        <v>44</v>
      </c>
      <c r="F333" s="178"/>
      <c r="G333" s="178"/>
      <c r="H333" s="127"/>
      <c r="I333" s="178"/>
      <c r="J333" s="178"/>
      <c r="K333" s="178"/>
      <c r="L333" s="178"/>
      <c r="M333" s="178"/>
      <c r="N333" s="178"/>
      <c r="O333" s="178"/>
      <c r="P333" s="178"/>
      <c r="Q333" s="178"/>
      <c r="R333" s="178"/>
      <c r="S333" s="178"/>
      <c r="T333" s="178"/>
      <c r="U333" s="178"/>
      <c r="V333" s="410"/>
      <c r="Z333" s="178"/>
      <c r="AA333" s="178"/>
      <c r="AB333" s="178"/>
      <c r="AC333" s="178"/>
      <c r="AD333" s="178"/>
      <c r="AE333" s="178"/>
      <c r="AF333" s="178"/>
      <c r="AG333" s="178"/>
      <c r="AH333" s="178"/>
      <c r="AI333" s="178"/>
      <c r="AJ333" s="178"/>
      <c r="AK333" s="178"/>
      <c r="AL333" s="178"/>
      <c r="AM333" s="178"/>
      <c r="AN333" s="178"/>
      <c r="AO333" s="178"/>
      <c r="AP333" s="178"/>
      <c r="AQ333" s="178"/>
      <c r="AR333" s="178"/>
      <c r="AS333" s="178"/>
    </row>
    <row r="334" spans="1:45" s="21" customFormat="1" x14ac:dyDescent="0.4">
      <c r="A334" s="27"/>
      <c r="B334" s="645"/>
      <c r="C334" s="645"/>
      <c r="D334" s="131"/>
      <c r="F334" s="178"/>
      <c r="G334" s="178"/>
      <c r="H334" s="127"/>
      <c r="I334" s="178"/>
      <c r="J334" s="178"/>
      <c r="K334" s="178"/>
      <c r="L334" s="178"/>
      <c r="M334" s="178"/>
      <c r="N334" s="178"/>
      <c r="O334" s="178"/>
      <c r="P334" s="178"/>
      <c r="Q334" s="178"/>
      <c r="R334" s="178"/>
      <c r="S334" s="178"/>
      <c r="T334" s="178"/>
      <c r="U334" s="178"/>
      <c r="V334" s="410"/>
      <c r="Z334" s="178"/>
      <c r="AA334" s="178"/>
      <c r="AB334" s="178"/>
      <c r="AC334" s="178"/>
      <c r="AD334" s="178"/>
      <c r="AE334" s="178"/>
      <c r="AF334" s="178"/>
      <c r="AG334" s="178"/>
      <c r="AH334" s="178"/>
      <c r="AI334" s="178"/>
      <c r="AJ334" s="178"/>
      <c r="AK334" s="178"/>
      <c r="AL334" s="178"/>
      <c r="AM334" s="178"/>
      <c r="AN334" s="178"/>
      <c r="AO334" s="178"/>
      <c r="AP334" s="178"/>
      <c r="AQ334" s="178"/>
      <c r="AR334" s="178"/>
      <c r="AS334" s="178"/>
    </row>
    <row r="335" spans="1:45" s="21" customFormat="1" x14ac:dyDescent="0.4">
      <c r="A335" s="27"/>
      <c r="B335" s="645"/>
      <c r="C335" s="645"/>
      <c r="D335" s="131"/>
      <c r="F335" s="178"/>
      <c r="G335" s="178"/>
      <c r="H335" s="127"/>
      <c r="I335" s="178"/>
      <c r="J335" s="178"/>
      <c r="K335" s="178"/>
      <c r="L335" s="178"/>
      <c r="M335" s="178"/>
      <c r="N335" s="178"/>
      <c r="O335" s="178"/>
      <c r="P335" s="178"/>
      <c r="Q335" s="178"/>
      <c r="R335" s="178"/>
      <c r="S335" s="178"/>
      <c r="T335" s="178"/>
      <c r="U335" s="178"/>
      <c r="V335" s="410"/>
      <c r="Z335" s="178"/>
      <c r="AA335" s="178"/>
      <c r="AB335" s="178"/>
      <c r="AC335" s="178"/>
      <c r="AD335" s="178"/>
      <c r="AE335" s="178"/>
      <c r="AF335" s="178"/>
      <c r="AG335" s="178"/>
      <c r="AH335" s="178"/>
      <c r="AI335" s="178"/>
      <c r="AJ335" s="178"/>
      <c r="AK335" s="178"/>
      <c r="AL335" s="178"/>
      <c r="AM335" s="178"/>
      <c r="AN335" s="178"/>
      <c r="AO335" s="178"/>
      <c r="AP335" s="178"/>
      <c r="AQ335" s="178"/>
      <c r="AR335" s="178"/>
      <c r="AS335" s="178"/>
    </row>
    <row r="336" spans="1:45" s="21" customFormat="1" x14ac:dyDescent="0.4">
      <c r="A336" s="27"/>
      <c r="B336" s="645"/>
      <c r="C336" s="645"/>
      <c r="D336" s="131"/>
      <c r="F336" s="178"/>
      <c r="G336" s="178"/>
      <c r="H336" s="127"/>
      <c r="I336" s="178"/>
      <c r="J336" s="178"/>
      <c r="K336" s="178"/>
      <c r="L336" s="178"/>
      <c r="M336" s="178"/>
      <c r="N336" s="178"/>
      <c r="O336" s="178"/>
      <c r="P336" s="178"/>
      <c r="Q336" s="178"/>
      <c r="R336" s="178"/>
      <c r="S336" s="178"/>
      <c r="T336" s="178"/>
      <c r="U336" s="178"/>
      <c r="V336" s="410"/>
      <c r="Z336" s="178"/>
      <c r="AA336" s="178"/>
      <c r="AB336" s="178"/>
      <c r="AC336" s="178"/>
      <c r="AD336" s="178"/>
      <c r="AE336" s="178"/>
      <c r="AF336" s="178"/>
      <c r="AG336" s="178"/>
      <c r="AH336" s="178"/>
      <c r="AI336" s="178"/>
      <c r="AJ336" s="178"/>
      <c r="AK336" s="178"/>
      <c r="AL336" s="178"/>
      <c r="AM336" s="178"/>
      <c r="AN336" s="178"/>
      <c r="AO336" s="178"/>
      <c r="AP336" s="178"/>
      <c r="AQ336" s="178"/>
      <c r="AR336" s="178"/>
      <c r="AS336" s="178"/>
    </row>
    <row r="337" spans="1:45" s="21" customFormat="1" x14ac:dyDescent="0.4">
      <c r="A337" s="27"/>
      <c r="B337" s="645"/>
      <c r="C337" s="645"/>
      <c r="D337" s="131"/>
      <c r="F337" s="178"/>
      <c r="G337" s="178"/>
      <c r="H337" s="127"/>
      <c r="I337" s="178"/>
      <c r="J337" s="178"/>
      <c r="K337" s="178"/>
      <c r="L337" s="178"/>
      <c r="M337" s="178"/>
      <c r="N337" s="178"/>
      <c r="O337" s="178"/>
      <c r="P337" s="178"/>
      <c r="Q337" s="178"/>
      <c r="R337" s="178"/>
      <c r="S337" s="178"/>
      <c r="T337" s="178"/>
      <c r="U337" s="178"/>
      <c r="V337" s="410"/>
      <c r="Z337" s="178"/>
      <c r="AA337" s="178"/>
      <c r="AB337" s="178"/>
      <c r="AC337" s="178"/>
      <c r="AD337" s="178"/>
      <c r="AE337" s="178"/>
      <c r="AF337" s="178"/>
      <c r="AG337" s="178"/>
      <c r="AH337" s="178"/>
      <c r="AI337" s="178"/>
      <c r="AJ337" s="178"/>
      <c r="AK337" s="178"/>
      <c r="AL337" s="178"/>
      <c r="AM337" s="178"/>
      <c r="AN337" s="178"/>
      <c r="AO337" s="178"/>
      <c r="AP337" s="178"/>
      <c r="AQ337" s="178"/>
      <c r="AR337" s="178"/>
      <c r="AS337" s="178"/>
    </row>
    <row r="338" spans="1:45" s="21" customFormat="1" x14ac:dyDescent="0.4">
      <c r="A338" s="27"/>
      <c r="B338" s="645"/>
      <c r="C338" s="645"/>
      <c r="D338" s="131"/>
      <c r="F338" s="178"/>
      <c r="G338" s="178"/>
      <c r="H338" s="127"/>
      <c r="I338" s="178"/>
      <c r="J338" s="178"/>
      <c r="K338" s="178"/>
      <c r="L338" s="178"/>
      <c r="M338" s="178"/>
      <c r="N338" s="178"/>
      <c r="O338" s="178"/>
      <c r="P338" s="178"/>
      <c r="Q338" s="178"/>
      <c r="R338" s="178"/>
      <c r="S338" s="178"/>
      <c r="T338" s="178"/>
      <c r="U338" s="178"/>
      <c r="V338" s="410"/>
      <c r="Z338" s="178"/>
      <c r="AA338" s="178"/>
      <c r="AB338" s="178"/>
      <c r="AC338" s="178"/>
      <c r="AD338" s="178"/>
      <c r="AE338" s="178"/>
      <c r="AF338" s="178"/>
      <c r="AG338" s="178"/>
      <c r="AH338" s="178"/>
      <c r="AI338" s="178"/>
      <c r="AJ338" s="178"/>
      <c r="AK338" s="178"/>
      <c r="AL338" s="178"/>
      <c r="AM338" s="178"/>
      <c r="AN338" s="178"/>
      <c r="AO338" s="178"/>
      <c r="AP338" s="178"/>
      <c r="AQ338" s="178"/>
      <c r="AR338" s="178"/>
      <c r="AS338" s="178"/>
    </row>
    <row r="339" spans="1:45" s="21" customFormat="1" x14ac:dyDescent="0.4">
      <c r="A339" s="27"/>
      <c r="B339" s="645"/>
      <c r="C339" s="645"/>
      <c r="D339" s="131"/>
      <c r="F339" s="178"/>
      <c r="G339" s="178"/>
      <c r="H339" s="127"/>
      <c r="I339" s="178"/>
      <c r="J339" s="178"/>
      <c r="K339" s="178"/>
      <c r="L339" s="178"/>
      <c r="M339" s="178"/>
      <c r="N339" s="178"/>
      <c r="O339" s="178"/>
      <c r="P339" s="178"/>
      <c r="Q339" s="178"/>
      <c r="R339" s="178"/>
      <c r="S339" s="178"/>
      <c r="T339" s="178"/>
      <c r="U339" s="178"/>
      <c r="V339" s="410"/>
      <c r="Z339" s="178"/>
      <c r="AA339" s="178"/>
      <c r="AB339" s="178"/>
      <c r="AC339" s="178"/>
      <c r="AD339" s="178"/>
      <c r="AE339" s="178"/>
      <c r="AF339" s="178"/>
      <c r="AG339" s="178"/>
      <c r="AH339" s="178"/>
      <c r="AI339" s="178"/>
      <c r="AJ339" s="178"/>
      <c r="AK339" s="178"/>
      <c r="AL339" s="178"/>
      <c r="AM339" s="178"/>
      <c r="AN339" s="178"/>
      <c r="AO339" s="178"/>
      <c r="AP339" s="178"/>
      <c r="AQ339" s="178"/>
      <c r="AR339" s="178"/>
      <c r="AS339" s="178"/>
    </row>
    <row r="340" spans="1:45" s="21" customFormat="1" x14ac:dyDescent="0.4">
      <c r="A340" s="27"/>
      <c r="B340" s="645"/>
      <c r="C340" s="645"/>
      <c r="D340" s="131"/>
      <c r="F340" s="178"/>
      <c r="G340" s="178"/>
      <c r="H340" s="127"/>
      <c r="I340" s="178"/>
      <c r="J340" s="178"/>
      <c r="K340" s="178"/>
      <c r="L340" s="178"/>
      <c r="M340" s="178"/>
      <c r="N340" s="178"/>
      <c r="O340" s="178"/>
      <c r="P340" s="178"/>
      <c r="Q340" s="178"/>
      <c r="R340" s="178"/>
      <c r="S340" s="178"/>
      <c r="T340" s="178"/>
      <c r="U340" s="178"/>
      <c r="V340" s="410"/>
      <c r="Z340" s="178"/>
      <c r="AA340" s="178"/>
      <c r="AB340" s="178"/>
      <c r="AC340" s="178"/>
      <c r="AD340" s="178"/>
      <c r="AE340" s="178"/>
      <c r="AF340" s="178"/>
      <c r="AG340" s="178"/>
      <c r="AH340" s="178"/>
      <c r="AI340" s="178"/>
      <c r="AJ340" s="178"/>
      <c r="AK340" s="178"/>
      <c r="AL340" s="178"/>
      <c r="AM340" s="178"/>
      <c r="AN340" s="178"/>
      <c r="AO340" s="178"/>
      <c r="AP340" s="178"/>
      <c r="AQ340" s="178"/>
      <c r="AR340" s="178"/>
      <c r="AS340" s="178"/>
    </row>
    <row r="341" spans="1:45" s="21" customFormat="1" x14ac:dyDescent="0.4">
      <c r="A341" s="27"/>
      <c r="B341" s="645"/>
      <c r="C341" s="645"/>
      <c r="D341" s="131"/>
      <c r="F341" s="178"/>
      <c r="G341" s="178"/>
      <c r="H341" s="127"/>
      <c r="I341" s="178"/>
      <c r="J341" s="178"/>
      <c r="K341" s="178"/>
      <c r="L341" s="178"/>
      <c r="M341" s="178"/>
      <c r="N341" s="178"/>
      <c r="O341" s="178"/>
      <c r="P341" s="178"/>
      <c r="Q341" s="178"/>
      <c r="R341" s="178"/>
      <c r="S341" s="178"/>
      <c r="T341" s="178"/>
      <c r="U341" s="178"/>
      <c r="V341" s="410"/>
      <c r="Z341" s="178"/>
      <c r="AA341" s="178"/>
      <c r="AB341" s="178"/>
      <c r="AC341" s="178"/>
      <c r="AD341" s="178"/>
      <c r="AE341" s="178"/>
      <c r="AF341" s="178"/>
      <c r="AG341" s="178"/>
      <c r="AH341" s="178"/>
      <c r="AI341" s="178"/>
      <c r="AJ341" s="178"/>
      <c r="AK341" s="178"/>
      <c r="AL341" s="178"/>
      <c r="AM341" s="178"/>
      <c r="AN341" s="178"/>
      <c r="AO341" s="178"/>
      <c r="AP341" s="178"/>
      <c r="AQ341" s="178"/>
      <c r="AR341" s="178"/>
      <c r="AS341" s="178"/>
    </row>
    <row r="342" spans="1:45" s="21" customFormat="1" x14ac:dyDescent="0.4">
      <c r="A342" s="27"/>
      <c r="B342" s="645"/>
      <c r="C342" s="645"/>
      <c r="D342" s="131"/>
      <c r="F342" s="178"/>
      <c r="G342" s="178"/>
      <c r="H342" s="127"/>
      <c r="I342" s="178"/>
      <c r="J342" s="178"/>
      <c r="K342" s="178"/>
      <c r="L342" s="178"/>
      <c r="M342" s="178"/>
      <c r="N342" s="178"/>
      <c r="O342" s="178"/>
      <c r="P342" s="178"/>
      <c r="Q342" s="178"/>
      <c r="R342" s="178"/>
      <c r="S342" s="178"/>
      <c r="T342" s="178"/>
      <c r="U342" s="178"/>
      <c r="V342" s="410"/>
      <c r="Z342" s="178"/>
      <c r="AA342" s="178"/>
      <c r="AB342" s="178"/>
      <c r="AC342" s="178"/>
      <c r="AD342" s="178"/>
      <c r="AE342" s="178"/>
      <c r="AF342" s="178"/>
      <c r="AG342" s="178"/>
      <c r="AH342" s="178"/>
      <c r="AI342" s="178"/>
      <c r="AJ342" s="178"/>
      <c r="AK342" s="178"/>
      <c r="AL342" s="178"/>
      <c r="AM342" s="178"/>
      <c r="AN342" s="178"/>
      <c r="AO342" s="178"/>
      <c r="AP342" s="178"/>
      <c r="AQ342" s="178"/>
      <c r="AR342" s="178"/>
      <c r="AS342" s="178"/>
    </row>
    <row r="343" spans="1:45" s="21" customFormat="1" x14ac:dyDescent="0.4">
      <c r="A343" s="27"/>
      <c r="B343" s="645"/>
      <c r="C343" s="645"/>
      <c r="D343" s="131"/>
      <c r="F343" s="178"/>
      <c r="G343" s="178"/>
      <c r="H343" s="127"/>
      <c r="I343" s="178"/>
      <c r="J343" s="178"/>
      <c r="K343" s="178"/>
      <c r="L343" s="178"/>
      <c r="M343" s="178"/>
      <c r="N343" s="178"/>
      <c r="O343" s="178"/>
      <c r="P343" s="178"/>
      <c r="Q343" s="178"/>
      <c r="R343" s="178"/>
      <c r="S343" s="178"/>
      <c r="T343" s="178"/>
      <c r="U343" s="178"/>
      <c r="V343" s="410"/>
      <c r="Z343" s="178"/>
      <c r="AA343" s="178"/>
      <c r="AB343" s="178"/>
      <c r="AC343" s="178"/>
      <c r="AD343" s="178"/>
      <c r="AE343" s="178"/>
      <c r="AF343" s="178"/>
      <c r="AG343" s="178"/>
      <c r="AH343" s="178"/>
      <c r="AI343" s="178"/>
      <c r="AJ343" s="178"/>
      <c r="AK343" s="178"/>
      <c r="AL343" s="178"/>
      <c r="AM343" s="178"/>
      <c r="AN343" s="178"/>
      <c r="AO343" s="178"/>
      <c r="AP343" s="178"/>
      <c r="AQ343" s="178"/>
      <c r="AR343" s="178"/>
      <c r="AS343" s="178"/>
    </row>
    <row r="344" spans="1:45" s="21" customFormat="1" x14ac:dyDescent="0.4">
      <c r="A344" s="27"/>
      <c r="B344" s="645"/>
      <c r="C344" s="645"/>
      <c r="D344" s="131"/>
      <c r="F344" s="178"/>
      <c r="G344" s="178"/>
      <c r="H344" s="127"/>
      <c r="I344" s="178"/>
      <c r="J344" s="178"/>
      <c r="K344" s="178"/>
      <c r="L344" s="178"/>
      <c r="M344" s="178"/>
      <c r="N344" s="178"/>
      <c r="O344" s="178"/>
      <c r="P344" s="178"/>
      <c r="Q344" s="178"/>
      <c r="R344" s="178"/>
      <c r="S344" s="178"/>
      <c r="T344" s="178"/>
      <c r="U344" s="178"/>
      <c r="V344" s="410"/>
      <c r="Z344" s="178"/>
      <c r="AA344" s="178"/>
      <c r="AB344" s="178"/>
      <c r="AC344" s="178"/>
      <c r="AD344" s="178"/>
      <c r="AE344" s="178"/>
      <c r="AF344" s="178"/>
      <c r="AG344" s="178"/>
      <c r="AH344" s="178"/>
      <c r="AI344" s="178"/>
      <c r="AJ344" s="178"/>
      <c r="AK344" s="178"/>
      <c r="AL344" s="178"/>
      <c r="AM344" s="178"/>
      <c r="AN344" s="178"/>
      <c r="AO344" s="178"/>
      <c r="AP344" s="178"/>
      <c r="AQ344" s="178"/>
      <c r="AR344" s="178"/>
      <c r="AS344" s="178"/>
    </row>
    <row r="345" spans="1:45" s="21" customFormat="1" x14ac:dyDescent="0.4">
      <c r="A345" s="27"/>
      <c r="B345" s="645"/>
      <c r="C345" s="645"/>
      <c r="D345" s="131"/>
      <c r="F345" s="178"/>
      <c r="G345" s="178"/>
      <c r="H345" s="127"/>
      <c r="I345" s="178"/>
      <c r="J345" s="178"/>
      <c r="K345" s="178"/>
      <c r="L345" s="178"/>
      <c r="M345" s="178"/>
      <c r="N345" s="178"/>
      <c r="O345" s="178"/>
      <c r="P345" s="178"/>
      <c r="Q345" s="178"/>
      <c r="R345" s="178"/>
      <c r="S345" s="178"/>
      <c r="T345" s="178"/>
      <c r="U345" s="178"/>
      <c r="V345" s="410"/>
      <c r="Z345" s="178"/>
      <c r="AA345" s="178"/>
      <c r="AB345" s="178"/>
      <c r="AC345" s="178"/>
      <c r="AD345" s="178"/>
      <c r="AE345" s="178"/>
      <c r="AF345" s="178"/>
      <c r="AG345" s="178"/>
      <c r="AH345" s="178"/>
      <c r="AI345" s="178"/>
      <c r="AJ345" s="178"/>
      <c r="AK345" s="178"/>
      <c r="AL345" s="178"/>
      <c r="AM345" s="178"/>
      <c r="AN345" s="178"/>
      <c r="AO345" s="178"/>
      <c r="AP345" s="178"/>
      <c r="AQ345" s="178"/>
      <c r="AR345" s="178"/>
      <c r="AS345" s="178"/>
    </row>
    <row r="346" spans="1:45" s="21" customFormat="1" x14ac:dyDescent="0.4">
      <c r="A346" s="27"/>
      <c r="B346" s="645"/>
      <c r="C346" s="645"/>
      <c r="D346" s="131"/>
      <c r="F346" s="178"/>
      <c r="G346" s="178"/>
      <c r="H346" s="127"/>
      <c r="I346" s="178"/>
      <c r="J346" s="178"/>
      <c r="K346" s="178"/>
      <c r="L346" s="178"/>
      <c r="M346" s="178"/>
      <c r="N346" s="178"/>
      <c r="O346" s="178"/>
      <c r="P346" s="178"/>
      <c r="Q346" s="178"/>
      <c r="R346" s="178"/>
      <c r="S346" s="178"/>
      <c r="T346" s="178"/>
      <c r="U346" s="178"/>
      <c r="V346" s="410"/>
      <c r="Z346" s="178"/>
      <c r="AA346" s="178"/>
      <c r="AB346" s="178"/>
      <c r="AC346" s="178"/>
      <c r="AD346" s="178"/>
      <c r="AE346" s="178"/>
      <c r="AF346" s="178"/>
      <c r="AG346" s="178"/>
      <c r="AH346" s="178"/>
      <c r="AI346" s="178"/>
      <c r="AJ346" s="178"/>
      <c r="AK346" s="178"/>
      <c r="AL346" s="178"/>
      <c r="AM346" s="178"/>
      <c r="AN346" s="178"/>
      <c r="AO346" s="178"/>
      <c r="AP346" s="178"/>
      <c r="AQ346" s="178"/>
      <c r="AR346" s="178"/>
      <c r="AS346" s="178"/>
    </row>
    <row r="347" spans="1:45" s="21" customFormat="1" x14ac:dyDescent="0.4">
      <c r="A347" s="27"/>
      <c r="B347" s="645"/>
      <c r="C347" s="645"/>
      <c r="D347" s="131"/>
      <c r="F347" s="178"/>
      <c r="G347" s="178"/>
      <c r="H347" s="127"/>
      <c r="I347" s="178"/>
      <c r="J347" s="178"/>
      <c r="K347" s="178"/>
      <c r="L347" s="178"/>
      <c r="M347" s="178"/>
      <c r="N347" s="178"/>
      <c r="O347" s="178"/>
      <c r="P347" s="178"/>
      <c r="Q347" s="178"/>
      <c r="R347" s="178"/>
      <c r="S347" s="178"/>
      <c r="T347" s="178"/>
      <c r="U347" s="178"/>
      <c r="V347" s="410"/>
      <c r="Z347" s="178"/>
      <c r="AA347" s="178"/>
      <c r="AB347" s="178"/>
      <c r="AC347" s="178"/>
      <c r="AD347" s="178"/>
      <c r="AE347" s="178"/>
      <c r="AF347" s="178"/>
      <c r="AG347" s="178"/>
      <c r="AH347" s="178"/>
      <c r="AI347" s="178"/>
      <c r="AJ347" s="178"/>
      <c r="AK347" s="178"/>
      <c r="AL347" s="178"/>
      <c r="AM347" s="178"/>
      <c r="AN347" s="178"/>
      <c r="AO347" s="178"/>
      <c r="AP347" s="178"/>
      <c r="AQ347" s="178"/>
      <c r="AR347" s="178"/>
      <c r="AS347" s="178"/>
    </row>
    <row r="348" spans="1:45" s="21" customFormat="1" x14ac:dyDescent="0.4">
      <c r="A348" s="27"/>
      <c r="B348" s="645"/>
      <c r="C348" s="645"/>
      <c r="D348" s="131"/>
      <c r="F348" s="178"/>
      <c r="G348" s="178"/>
      <c r="H348" s="127"/>
      <c r="I348" s="178"/>
      <c r="J348" s="178"/>
      <c r="K348" s="178"/>
      <c r="L348" s="178"/>
      <c r="M348" s="178"/>
      <c r="N348" s="178"/>
      <c r="O348" s="178"/>
      <c r="P348" s="178"/>
      <c r="Q348" s="178"/>
      <c r="R348" s="178"/>
      <c r="S348" s="178"/>
      <c r="T348" s="178"/>
      <c r="U348" s="178"/>
      <c r="V348" s="410"/>
      <c r="Z348" s="178"/>
      <c r="AA348" s="178"/>
      <c r="AB348" s="178"/>
      <c r="AC348" s="178"/>
      <c r="AD348" s="178"/>
      <c r="AE348" s="178"/>
      <c r="AF348" s="178"/>
      <c r="AG348" s="178"/>
      <c r="AH348" s="178"/>
      <c r="AI348" s="178"/>
      <c r="AJ348" s="178"/>
      <c r="AK348" s="178"/>
      <c r="AL348" s="178"/>
      <c r="AM348" s="178"/>
      <c r="AN348" s="178"/>
      <c r="AO348" s="178"/>
      <c r="AP348" s="178"/>
      <c r="AQ348" s="178"/>
      <c r="AR348" s="178"/>
      <c r="AS348" s="178"/>
    </row>
    <row r="349" spans="1:45" s="21" customFormat="1" x14ac:dyDescent="0.4">
      <c r="A349" s="27"/>
      <c r="B349" s="645"/>
      <c r="C349" s="645"/>
      <c r="D349" s="131"/>
      <c r="F349" s="178"/>
      <c r="G349" s="178"/>
      <c r="H349" s="127"/>
      <c r="I349" s="178"/>
      <c r="J349" s="178"/>
      <c r="K349" s="178"/>
      <c r="L349" s="178"/>
      <c r="M349" s="178"/>
      <c r="N349" s="178"/>
      <c r="O349" s="178"/>
      <c r="P349" s="178"/>
      <c r="Q349" s="178"/>
      <c r="R349" s="178"/>
      <c r="S349" s="178"/>
      <c r="T349" s="178"/>
      <c r="U349" s="178"/>
      <c r="V349" s="410"/>
      <c r="Z349" s="178"/>
      <c r="AA349" s="178"/>
      <c r="AB349" s="178"/>
      <c r="AC349" s="178"/>
      <c r="AD349" s="178"/>
      <c r="AE349" s="178"/>
      <c r="AF349" s="178"/>
      <c r="AG349" s="178"/>
      <c r="AH349" s="178"/>
      <c r="AI349" s="178"/>
      <c r="AJ349" s="178"/>
      <c r="AK349" s="178"/>
      <c r="AL349" s="178"/>
      <c r="AM349" s="178"/>
      <c r="AN349" s="178"/>
      <c r="AO349" s="178"/>
      <c r="AP349" s="178"/>
      <c r="AQ349" s="178"/>
      <c r="AR349" s="178"/>
      <c r="AS349" s="178"/>
    </row>
    <row r="350" spans="1:45" s="21" customFormat="1" x14ac:dyDescent="0.4">
      <c r="A350" s="27"/>
      <c r="B350" s="645"/>
      <c r="C350" s="645"/>
      <c r="D350" s="131"/>
      <c r="F350" s="178"/>
      <c r="G350" s="178"/>
      <c r="H350" s="127"/>
      <c r="I350" s="178"/>
      <c r="J350" s="178"/>
      <c r="K350" s="178"/>
      <c r="L350" s="178"/>
      <c r="M350" s="178"/>
      <c r="N350" s="178"/>
      <c r="O350" s="178"/>
      <c r="P350" s="178"/>
      <c r="Q350" s="178"/>
      <c r="R350" s="178"/>
      <c r="S350" s="178"/>
      <c r="T350" s="178"/>
      <c r="U350" s="178"/>
      <c r="V350" s="410"/>
      <c r="Z350" s="178"/>
      <c r="AA350" s="178"/>
      <c r="AB350" s="178"/>
      <c r="AC350" s="178"/>
      <c r="AD350" s="178"/>
      <c r="AE350" s="178"/>
      <c r="AF350" s="178"/>
      <c r="AG350" s="178"/>
      <c r="AH350" s="178"/>
      <c r="AI350" s="178"/>
      <c r="AJ350" s="178"/>
      <c r="AK350" s="178"/>
      <c r="AL350" s="178"/>
      <c r="AM350" s="178"/>
      <c r="AN350" s="178"/>
      <c r="AO350" s="178"/>
      <c r="AP350" s="178"/>
      <c r="AQ350" s="178"/>
      <c r="AR350" s="178"/>
      <c r="AS350" s="178"/>
    </row>
    <row r="351" spans="1:45" s="21" customFormat="1" x14ac:dyDescent="0.4">
      <c r="A351" s="27"/>
      <c r="B351" s="645"/>
      <c r="C351" s="645"/>
      <c r="D351" s="131"/>
      <c r="F351" s="178"/>
      <c r="G351" s="178"/>
      <c r="H351" s="127"/>
      <c r="I351" s="178"/>
      <c r="J351" s="178"/>
      <c r="K351" s="178"/>
      <c r="L351" s="178"/>
      <c r="M351" s="178"/>
      <c r="N351" s="178"/>
      <c r="O351" s="178"/>
      <c r="P351" s="178"/>
      <c r="Q351" s="178"/>
      <c r="R351" s="178"/>
      <c r="S351" s="178"/>
      <c r="T351" s="178"/>
      <c r="U351" s="178"/>
      <c r="V351" s="410"/>
      <c r="Z351" s="178"/>
      <c r="AA351" s="178"/>
      <c r="AB351" s="178"/>
      <c r="AC351" s="178"/>
      <c r="AD351" s="178"/>
      <c r="AE351" s="178"/>
      <c r="AF351" s="178"/>
      <c r="AG351" s="178"/>
      <c r="AH351" s="178"/>
      <c r="AI351" s="178"/>
      <c r="AJ351" s="178"/>
      <c r="AK351" s="178"/>
      <c r="AL351" s="178"/>
      <c r="AM351" s="178"/>
      <c r="AN351" s="178"/>
      <c r="AO351" s="178"/>
      <c r="AP351" s="178"/>
      <c r="AQ351" s="178"/>
      <c r="AR351" s="178"/>
      <c r="AS351" s="178"/>
    </row>
    <row r="352" spans="1:45" s="21" customFormat="1" x14ac:dyDescent="0.4">
      <c r="A352" s="27"/>
      <c r="B352" s="645"/>
      <c r="C352" s="645"/>
      <c r="D352" s="131"/>
      <c r="F352" s="178"/>
      <c r="G352" s="178"/>
      <c r="H352" s="127"/>
      <c r="I352" s="178"/>
      <c r="J352" s="178"/>
      <c r="K352" s="178"/>
      <c r="L352" s="178"/>
      <c r="M352" s="178"/>
      <c r="N352" s="178"/>
      <c r="O352" s="178"/>
      <c r="P352" s="178"/>
      <c r="Q352" s="178"/>
      <c r="R352" s="178"/>
      <c r="S352" s="178"/>
      <c r="T352" s="178"/>
      <c r="U352" s="178"/>
      <c r="V352" s="410"/>
      <c r="Z352" s="178"/>
      <c r="AA352" s="178"/>
      <c r="AB352" s="178"/>
      <c r="AC352" s="178"/>
      <c r="AD352" s="178"/>
      <c r="AE352" s="178"/>
      <c r="AF352" s="178"/>
      <c r="AG352" s="178"/>
      <c r="AH352" s="178"/>
      <c r="AI352" s="178"/>
      <c r="AJ352" s="178"/>
      <c r="AK352" s="178"/>
      <c r="AL352" s="178"/>
      <c r="AM352" s="178"/>
      <c r="AN352" s="178"/>
      <c r="AO352" s="178"/>
      <c r="AP352" s="178"/>
      <c r="AQ352" s="178"/>
      <c r="AR352" s="178"/>
      <c r="AS352" s="178"/>
    </row>
    <row r="353" spans="1:46" s="21" customFormat="1" x14ac:dyDescent="0.4">
      <c r="A353" s="27"/>
      <c r="B353" s="645"/>
      <c r="C353" s="645"/>
      <c r="D353" s="131"/>
      <c r="F353" s="178"/>
      <c r="G353" s="178"/>
      <c r="H353" s="127"/>
      <c r="I353" s="178"/>
      <c r="J353" s="178"/>
      <c r="K353" s="178"/>
      <c r="L353" s="178"/>
      <c r="M353" s="178"/>
      <c r="N353" s="178"/>
      <c r="O353" s="178"/>
      <c r="P353" s="178"/>
      <c r="Q353" s="178"/>
      <c r="R353" s="178"/>
      <c r="S353" s="178"/>
      <c r="T353" s="178"/>
      <c r="U353" s="178"/>
      <c r="V353" s="410"/>
      <c r="Z353" s="178"/>
      <c r="AA353" s="178"/>
      <c r="AB353" s="178"/>
      <c r="AC353" s="178"/>
      <c r="AD353" s="178"/>
      <c r="AE353" s="178"/>
      <c r="AF353" s="178"/>
      <c r="AG353" s="178"/>
      <c r="AH353" s="178"/>
      <c r="AI353" s="178"/>
      <c r="AJ353" s="178"/>
      <c r="AK353" s="178"/>
      <c r="AL353" s="178"/>
      <c r="AM353" s="178"/>
      <c r="AN353" s="178"/>
      <c r="AO353" s="178"/>
      <c r="AP353" s="178"/>
      <c r="AQ353" s="178"/>
      <c r="AR353" s="178"/>
      <c r="AS353" s="178"/>
    </row>
    <row r="354" spans="1:46" s="21" customFormat="1" x14ac:dyDescent="0.4">
      <c r="A354" s="27"/>
      <c r="B354" s="645"/>
      <c r="C354" s="645"/>
      <c r="D354" s="131"/>
      <c r="F354" s="178"/>
      <c r="G354" s="178"/>
      <c r="H354" s="127"/>
      <c r="I354" s="178"/>
      <c r="J354" s="178"/>
      <c r="K354" s="178"/>
      <c r="L354" s="178"/>
      <c r="M354" s="178"/>
      <c r="N354" s="178"/>
      <c r="O354" s="178"/>
      <c r="P354" s="178"/>
      <c r="Q354" s="178"/>
      <c r="R354" s="178"/>
      <c r="S354" s="178"/>
      <c r="T354" s="178"/>
      <c r="U354" s="178"/>
      <c r="V354" s="410"/>
      <c r="Z354" s="178"/>
      <c r="AA354" s="178"/>
      <c r="AB354" s="178"/>
      <c r="AC354" s="178"/>
      <c r="AD354" s="178"/>
      <c r="AE354" s="178"/>
      <c r="AF354" s="178"/>
      <c r="AG354" s="178"/>
      <c r="AH354" s="178"/>
      <c r="AI354" s="178"/>
      <c r="AJ354" s="178"/>
      <c r="AK354" s="178"/>
      <c r="AL354" s="178"/>
      <c r="AM354" s="178"/>
      <c r="AN354" s="178"/>
      <c r="AO354" s="178"/>
      <c r="AP354" s="178"/>
      <c r="AQ354" s="178"/>
      <c r="AR354" s="178"/>
      <c r="AS354" s="178"/>
    </row>
    <row r="355" spans="1:46" s="21" customFormat="1" x14ac:dyDescent="0.4">
      <c r="A355" s="27"/>
      <c r="B355" s="645"/>
      <c r="C355" s="645"/>
      <c r="D355" s="131" t="s">
        <v>44</v>
      </c>
      <c r="F355" s="178"/>
      <c r="G355" s="178"/>
      <c r="H355" s="127"/>
      <c r="I355" s="178"/>
      <c r="J355" s="178"/>
      <c r="K355" s="178"/>
      <c r="L355" s="178"/>
      <c r="M355" s="178"/>
      <c r="N355" s="178"/>
      <c r="O355" s="178"/>
      <c r="P355" s="178"/>
      <c r="Q355" s="178"/>
      <c r="R355" s="178"/>
      <c r="S355" s="178"/>
      <c r="T355" s="178"/>
      <c r="U355" s="178"/>
      <c r="V355" s="410"/>
      <c r="Z355" s="178"/>
      <c r="AA355" s="178"/>
      <c r="AB355" s="178"/>
      <c r="AC355" s="178"/>
      <c r="AD355" s="178"/>
      <c r="AE355" s="178"/>
      <c r="AF355" s="178"/>
      <c r="AG355" s="178"/>
      <c r="AH355" s="178"/>
      <c r="AI355" s="178"/>
      <c r="AJ355" s="178"/>
      <c r="AK355" s="178"/>
      <c r="AL355" s="178"/>
      <c r="AM355" s="178"/>
      <c r="AN355" s="178"/>
      <c r="AO355" s="178"/>
      <c r="AP355" s="178"/>
      <c r="AQ355" s="178"/>
      <c r="AR355" s="178"/>
      <c r="AS355" s="178"/>
    </row>
    <row r="356" spans="1:46" s="21" customFormat="1" x14ac:dyDescent="0.4">
      <c r="A356" s="27"/>
      <c r="B356" s="645"/>
      <c r="C356" s="645"/>
      <c r="D356" s="131"/>
      <c r="F356" s="178"/>
      <c r="G356" s="178"/>
      <c r="H356" s="127"/>
      <c r="I356" s="178"/>
      <c r="J356" s="178"/>
      <c r="K356" s="178"/>
      <c r="L356" s="178"/>
      <c r="M356" s="178"/>
      <c r="N356" s="178"/>
      <c r="O356" s="178"/>
      <c r="P356" s="178"/>
      <c r="Q356" s="178"/>
      <c r="R356" s="178"/>
      <c r="S356" s="178"/>
      <c r="T356" s="178"/>
      <c r="U356" s="178"/>
      <c r="V356" s="410"/>
      <c r="Z356" s="178"/>
      <c r="AA356" s="178"/>
      <c r="AB356" s="178"/>
      <c r="AC356" s="178"/>
      <c r="AD356" s="178"/>
      <c r="AE356" s="178"/>
      <c r="AF356" s="178"/>
      <c r="AG356" s="178"/>
      <c r="AH356" s="178"/>
      <c r="AI356" s="178"/>
      <c r="AJ356" s="178"/>
      <c r="AK356" s="178"/>
      <c r="AL356" s="178"/>
      <c r="AM356" s="178"/>
      <c r="AN356" s="178"/>
      <c r="AO356" s="178"/>
      <c r="AP356" s="178"/>
      <c r="AQ356" s="178"/>
      <c r="AR356" s="178"/>
      <c r="AS356" s="178"/>
    </row>
    <row r="357" spans="1:46" s="37" customFormat="1" ht="82.5" customHeight="1" x14ac:dyDescent="0.4">
      <c r="A357" s="653"/>
      <c r="B357" s="653"/>
      <c r="C357" s="653"/>
      <c r="E357" s="664" t="s">
        <v>181</v>
      </c>
      <c r="F357" s="96"/>
      <c r="G357" s="96"/>
      <c r="H357" s="96"/>
      <c r="I357" s="96"/>
      <c r="J357" s="96"/>
      <c r="K357" s="96"/>
      <c r="L357" s="96"/>
      <c r="M357" s="96"/>
      <c r="N357" s="96"/>
      <c r="O357" s="96"/>
      <c r="P357" s="96"/>
      <c r="Q357" s="96"/>
      <c r="R357" s="96"/>
      <c r="S357" s="96"/>
      <c r="T357" s="96"/>
      <c r="U357" s="96"/>
      <c r="V357" s="418"/>
      <c r="Y357" s="37" t="s">
        <v>159</v>
      </c>
      <c r="Z357" s="96"/>
      <c r="AA357" s="96"/>
      <c r="AB357" s="96"/>
      <c r="AC357" s="96"/>
      <c r="AD357" s="96"/>
      <c r="AE357" s="96"/>
      <c r="AF357" s="96"/>
      <c r="AG357" s="96"/>
      <c r="AH357" s="96"/>
      <c r="AI357" s="96"/>
      <c r="AJ357" s="96"/>
      <c r="AK357" s="96"/>
      <c r="AL357" s="96"/>
      <c r="AM357" s="96"/>
      <c r="AN357" s="96"/>
      <c r="AO357" s="96"/>
      <c r="AP357" s="96"/>
      <c r="AQ357" s="96"/>
      <c r="AR357" s="96"/>
      <c r="AS357" s="96"/>
    </row>
    <row r="358" spans="1:46" s="21" customFormat="1" x14ac:dyDescent="0.4">
      <c r="A358" s="27"/>
      <c r="B358" s="645"/>
      <c r="C358" s="645"/>
      <c r="D358" s="131" t="s">
        <v>44</v>
      </c>
      <c r="F358" s="178"/>
      <c r="G358" s="178"/>
      <c r="H358" s="127"/>
      <c r="I358" s="178"/>
      <c r="J358" s="178"/>
      <c r="K358" s="178"/>
      <c r="L358" s="178"/>
      <c r="M358" s="178"/>
      <c r="N358" s="178"/>
      <c r="O358" s="178"/>
      <c r="P358" s="178"/>
      <c r="Q358" s="178"/>
      <c r="R358" s="178"/>
      <c r="S358" s="178"/>
      <c r="T358" s="178"/>
      <c r="U358" s="178"/>
      <c r="V358" s="410"/>
      <c r="Z358" s="178"/>
      <c r="AA358" s="178"/>
      <c r="AB358" s="178"/>
      <c r="AC358" s="178"/>
      <c r="AD358" s="178"/>
      <c r="AE358" s="178"/>
      <c r="AF358" s="178"/>
      <c r="AG358" s="178"/>
      <c r="AH358" s="178"/>
      <c r="AI358" s="178"/>
      <c r="AJ358" s="178"/>
      <c r="AK358" s="178"/>
      <c r="AL358" s="178"/>
      <c r="AM358" s="178"/>
      <c r="AN358" s="178"/>
      <c r="AO358" s="178"/>
      <c r="AP358" s="178"/>
      <c r="AQ358" s="178"/>
      <c r="AR358" s="178"/>
      <c r="AS358" s="178"/>
    </row>
    <row r="359" spans="1:46" ht="46.95" customHeight="1" x14ac:dyDescent="0.4">
      <c r="D359" s="123"/>
      <c r="E359" s="1396" t="str">
        <f>"STAÐAN ÁRIÐ "&amp;$A$1</f>
        <v>STAÐAN ÁRIÐ 2025</v>
      </c>
      <c r="F359" s="777"/>
      <c r="G359" s="777"/>
      <c r="H359" s="777"/>
      <c r="I359" s="777"/>
      <c r="J359" s="777"/>
      <c r="K359" s="777"/>
      <c r="L359" s="777"/>
      <c r="M359" s="777"/>
      <c r="N359" s="778"/>
      <c r="O359" s="1396" t="str">
        <f>$O$5</f>
        <v>FRAMTÍÐARHORFUR</v>
      </c>
      <c r="P359" s="1398" t="str">
        <f>$P$5</f>
        <v>Áætluð breyting í losun út frá
sviðsmynd byggð á aðgerðum stjórvalda</v>
      </c>
      <c r="Q359" s="1399"/>
      <c r="R359" s="1399"/>
      <c r="S359" s="1399"/>
      <c r="V359" s="162"/>
      <c r="Y359" s="1396" t="str">
        <f>$Y$5</f>
        <v>2025 EMISSIONS</v>
      </c>
      <c r="Z359" s="777"/>
      <c r="AA359" s="777"/>
      <c r="AB359" s="777"/>
      <c r="AC359" s="777"/>
      <c r="AD359" s="777"/>
      <c r="AE359" s="777"/>
      <c r="AF359" s="777"/>
      <c r="AG359" s="777"/>
      <c r="AH359" s="781"/>
      <c r="AI359" s="1396" t="str">
        <f>$AI$5</f>
        <v>OUTLOOKS</v>
      </c>
      <c r="AJ359" s="1398" t="str">
        <f>$AJ$5</f>
        <v>Estimated change in emissions based on
government policy-based scenario</v>
      </c>
      <c r="AK359" s="1399"/>
      <c r="AL359" s="1399"/>
      <c r="AM359" s="1399"/>
      <c r="AN359" s="5"/>
      <c r="AO359" s="5"/>
      <c r="AP359" s="5"/>
      <c r="AQ359" s="5"/>
      <c r="AR359" s="5"/>
      <c r="AS359" s="5"/>
    </row>
    <row r="360" spans="1:46" s="21" customFormat="1" ht="17.399999999999999" customHeight="1" x14ac:dyDescent="0.4">
      <c r="A360" s="27"/>
      <c r="B360" s="645"/>
      <c r="C360" s="645"/>
      <c r="D360" s="131" t="s">
        <v>44</v>
      </c>
      <c r="E360" s="1396"/>
      <c r="F360" s="1418" t="str">
        <f>"Losun "&amp;$A$1</f>
        <v>Losun 2025</v>
      </c>
      <c r="G360" s="1417"/>
      <c r="H360" s="1414" t="str">
        <f>"Breyting frá "&amp;$B$3</f>
        <v>Breyting frá 2024</v>
      </c>
      <c r="I360" s="1415"/>
      <c r="J360" s="1416" t="str">
        <f>"Breyting frá "&amp;$B$2</f>
        <v>Breyting frá 2005</v>
      </c>
      <c r="K360" s="1417"/>
      <c r="L360" s="1416" t="str">
        <f>"Breyting frá "&amp;$B$1</f>
        <v>Breyting frá 1990</v>
      </c>
      <c r="M360" s="1418"/>
      <c r="N360" s="778"/>
      <c r="O360" s="1396"/>
      <c r="P360" s="1416" t="s">
        <v>342</v>
      </c>
      <c r="Q360" s="1417"/>
      <c r="R360" s="1416" t="s">
        <v>343</v>
      </c>
      <c r="S360" s="1418"/>
      <c r="T360" s="178"/>
      <c r="U360" s="178"/>
      <c r="V360" s="410"/>
      <c r="Y360" s="1396"/>
      <c r="Z360" s="1418" t="str">
        <f>$Z$6</f>
        <v>Emissions in 2025</v>
      </c>
      <c r="AA360" s="1417"/>
      <c r="AB360" s="1416" t="str">
        <f>$AB$6</f>
        <v>Change from 2024</v>
      </c>
      <c r="AC360" s="1417"/>
      <c r="AD360" s="1416" t="str">
        <f>$AD$6</f>
        <v>Change from 2005</v>
      </c>
      <c r="AE360" s="1417"/>
      <c r="AF360" s="1416" t="str">
        <f>$AF$6</f>
        <v>Change from 1990</v>
      </c>
      <c r="AG360" s="1417"/>
      <c r="AH360" s="781"/>
      <c r="AI360" s="1396"/>
      <c r="AJ360" s="1416" t="str">
        <f>$AJ$6</f>
        <v>2030 compared to 2005</v>
      </c>
      <c r="AK360" s="1417"/>
      <c r="AL360" s="1416" t="str">
        <f>$AL$6</f>
        <v>2055 compared to 1990</v>
      </c>
      <c r="AM360" s="1418"/>
    </row>
    <row r="361" spans="1:46" s="21" customFormat="1" ht="17.399999999999999" customHeight="1" thickBot="1" x14ac:dyDescent="0.45">
      <c r="A361" s="27"/>
      <c r="B361" s="645"/>
      <c r="C361" s="645"/>
      <c r="D361" s="131" t="s">
        <v>44</v>
      </c>
      <c r="E361" s="1397"/>
      <c r="F361" s="779" t="s">
        <v>378</v>
      </c>
      <c r="G361" s="780" t="s">
        <v>4</v>
      </c>
      <c r="H361" s="779" t="str">
        <f>$F$7</f>
        <v>Þús. tonn CO₂-íg.</v>
      </c>
      <c r="I361" s="780" t="s">
        <v>4</v>
      </c>
      <c r="J361" s="779" t="str">
        <f>$F$7</f>
        <v>Þús. tonn CO₂-íg.</v>
      </c>
      <c r="K361" s="780" t="s">
        <v>4</v>
      </c>
      <c r="L361" s="779" t="str">
        <f>$F$7</f>
        <v>Þús. tonn CO₂-íg.</v>
      </c>
      <c r="M361" s="779" t="s">
        <v>4</v>
      </c>
      <c r="N361" s="778"/>
      <c r="O361" s="1397"/>
      <c r="P361" s="779" t="str">
        <f>$F$7</f>
        <v>Þús. tonn CO₂-íg.</v>
      </c>
      <c r="Q361" s="780" t="s">
        <v>4</v>
      </c>
      <c r="R361" s="779" t="str">
        <f>$F$7</f>
        <v>Þús. tonn CO₂-íg.</v>
      </c>
      <c r="S361" s="779" t="s">
        <v>4</v>
      </c>
      <c r="T361" s="178"/>
      <c r="U361" s="178"/>
      <c r="V361" s="410"/>
      <c r="Y361" s="1397"/>
      <c r="Z361" s="779" t="str">
        <f>$Z$7</f>
        <v>Thousand tons CO₂e</v>
      </c>
      <c r="AA361" s="780" t="s">
        <v>4</v>
      </c>
      <c r="AB361" s="779" t="str">
        <f>$Z$7</f>
        <v>Thousand tons CO₂e</v>
      </c>
      <c r="AC361" s="780" t="s">
        <v>4</v>
      </c>
      <c r="AD361" s="779" t="str">
        <f>$F$7</f>
        <v>Þús. tonn CO₂-íg.</v>
      </c>
      <c r="AE361" s="780" t="s">
        <v>4</v>
      </c>
      <c r="AF361" s="779" t="str">
        <f>$Z$7</f>
        <v>Thousand tons CO₂e</v>
      </c>
      <c r="AG361" s="780" t="s">
        <v>4</v>
      </c>
      <c r="AH361" s="781"/>
      <c r="AI361" s="1397"/>
      <c r="AJ361" s="779" t="str">
        <f>$Z$7</f>
        <v>Thousand tons CO₂e</v>
      </c>
      <c r="AK361" s="780" t="s">
        <v>4</v>
      </c>
      <c r="AL361" s="779" t="str">
        <f>$Z$7</f>
        <v>Thousand tons CO₂e</v>
      </c>
      <c r="AM361" s="779" t="s">
        <v>4</v>
      </c>
      <c r="AN361" s="5"/>
      <c r="AO361" s="5"/>
      <c r="AP361" s="5"/>
      <c r="AQ361" s="5"/>
      <c r="AR361" s="5"/>
      <c r="AS361" s="5"/>
      <c r="AT361" s="5"/>
    </row>
    <row r="362" spans="1:46" s="21" customFormat="1" ht="21" customHeight="1" thickTop="1" x14ac:dyDescent="0.4">
      <c r="A362" s="27" t="s">
        <v>54</v>
      </c>
      <c r="B362" s="27" t="s">
        <v>238</v>
      </c>
      <c r="C362" s="27" t="s">
        <v>244</v>
      </c>
      <c r="D362" s="131" t="s">
        <v>44</v>
      </c>
      <c r="E362" s="458" t="str">
        <f>'Talnagögn | Numerical Data'!$E$90</f>
        <v>Álframleiðsla</v>
      </c>
      <c r="F362" s="466" cm="1">
        <f t="array" ref="F362">INDEX('Talnagögn | Numerical Data'!$1:$1048576,_xlfn.XMATCH($A362,'Talnagögn | Numerical Data'!$B:$B),_xlfn.XMATCH($A$1,'Talnagögn | Numerical Data'!$1:$1))</f>
        <v>1290.3163042728158</v>
      </c>
      <c r="G362" s="467">
        <f>F362/$F$366</f>
        <v>0.71907165431340903</v>
      </c>
      <c r="H362" s="468" cm="1">
        <f t="array" ref="H362">INDEX('Talnagögn | Numerical Data'!$1:$1048576,_xlfn.XMATCH($A362,'Talnagögn | Numerical Data'!$B:$B),_xlfn.XMATCH($A$1,'Talnagögn | Numerical Data'!$1:$1))-INDEX('Talnagögn | Numerical Data'!$1:$1048576,_xlfn.XMATCH($A362,'Talnagögn | Numerical Data'!$B:$B),_xlfn.XMATCH($B$3,'Talnagögn | Numerical Data'!$1:$1))</f>
        <v>-70.095350678775731</v>
      </c>
      <c r="I362" s="469" cm="1">
        <f t="array" ref="I362">INDEX('Talnagögn | Numerical Data'!$1:$1048576,_xlfn.XMATCH($A362,'Talnagögn | Numerical Data'!$B:$B),_xlfn.XMATCH($A$1,'Talnagögn | Numerical Data'!$1:$1))/INDEX('Talnagögn | Numerical Data'!$1:$1048576,_xlfn.XMATCH($A362,'Talnagögn | Numerical Data'!$B:$B),_xlfn.XMATCH($B$3,'Talnagögn | Numerical Data'!$1:$1))-1</f>
        <v>-5.152510302572344E-2</v>
      </c>
      <c r="J362" s="468" cm="1">
        <f t="array" ref="J362">INDEX('Talnagögn | Numerical Data'!$1:$1048576,_xlfn.XMATCH($A362,'Talnagögn | Numerical Data'!$B:$B),_xlfn.XMATCH($A$1,'Talnagögn | Numerical Data'!$1:$1))-INDEX('Talnagögn | Numerical Data'!$1:$1048576,_xlfn.XMATCH($A362,'Talnagögn | Numerical Data'!$B:$B),_xlfn.XMATCH($B$2,'Talnagögn | Numerical Data'!$1:$1))</f>
        <v>845.50778810572865</v>
      </c>
      <c r="K362" s="467" cm="1">
        <f t="array" ref="K362">INDEX('Talnagögn | Numerical Data'!$1:$1048576,_xlfn.XMATCH($A362,'Talnagögn | Numerical Data'!$B:$B),_xlfn.XMATCH($A$1,'Talnagögn | Numerical Data'!$1:$1))/INDEX('Talnagögn | Numerical Data'!$1:$1048576,_xlfn.XMATCH($A362,'Talnagögn | Numerical Data'!$B:$B),_xlfn.XMATCH($B$2,'Talnagögn | Numerical Data'!$1:$1))-1</f>
        <v>1.9008354322697447</v>
      </c>
      <c r="L362" s="468" cm="1">
        <f t="array" ref="L362">INDEX('Talnagögn | Numerical Data'!$1:$1048576,_xlfn.XMATCH($A362,'Talnagögn | Numerical Data'!$B:$B),_xlfn.XMATCH($A$1,'Talnagögn | Numerical Data'!$1:$1))-INDEX('Talnagögn | Numerical Data'!$1:$1048576,_xlfn.XMATCH($A362,'Talnagögn | Numerical Data'!$B:$B),_xlfn.XMATCH($B$1,'Talnagögn | Numerical Data'!$1:$1))</f>
        <v>706.28983150200986</v>
      </c>
      <c r="M362" s="470" cm="1">
        <f t="array" ref="M362">INDEX('Talnagögn | Numerical Data'!$1:$1048576,_xlfn.XMATCH($A362,'Talnagögn | Numerical Data'!$B:$B),_xlfn.XMATCH($A$1,'Talnagögn | Numerical Data'!$1:$1))/INDEX('Talnagögn | Numerical Data'!$1:$1048576,_xlfn.XMATCH($A362,'Talnagögn | Numerical Data'!$B:$B),_xlfn.XMATCH($B$1,'Talnagögn | Numerical Data'!$1:$1))-1</f>
        <v>1.209345576667352</v>
      </c>
      <c r="O362" s="458" t="str">
        <f>'Talnagögn | Numerical Data'!$E$90</f>
        <v>Álframleiðsla</v>
      </c>
      <c r="P362" s="468" cm="1">
        <f t="array" ref="P362">INDEX('Talnagögn | Numerical Data'!$1:$1048576,_xlfn.XMATCH($B362,'Talnagögn | Numerical Data'!$C:$C),_xlfn.XMATCH($B$4,'Talnagögn | Numerical Data'!$1:$1))-INDEX('Talnagögn | Numerical Data'!$1:$1048576,_xlfn.XMATCH($A362,'Talnagögn | Numerical Data'!$B:$B),_xlfn.XMATCH($B$2,'Talnagögn | Numerical Data'!$1:$1))</f>
        <v>974.30051059701464</v>
      </c>
      <c r="Q362" s="467" cm="1">
        <f t="array" ref="Q362">INDEX('Talnagögn | Numerical Data'!$1:$1048576,_xlfn.XMATCH($B362,'Talnagögn | Numerical Data'!$C:$C),_xlfn.XMATCH($B$4,'Talnagögn | Numerical Data'!$1:$1))/INDEX('Talnagögn | Numerical Data'!$1:$1048576,_xlfn.XMATCH($A362,'Talnagögn | Numerical Data'!$B:$B),_xlfn.XMATCH($B$2,'Talnagögn | Numerical Data'!$1:$1))-1</f>
        <v>2.1903818726146649</v>
      </c>
      <c r="R362" s="466" cm="1">
        <f t="array" ref="R362">INDEX('Talnagögn | Numerical Data'!$1:$1048576,_xlfn.XMATCH($B362,'Talnagögn | Numerical Data'!$C:$C),_xlfn.XMATCH($B$5,'Talnagögn | Numerical Data'!$1:$1))-INDEX('Talnagögn | Numerical Data'!$1:$1048576,_xlfn.XMATCH($A362,'Talnagögn | Numerical Data'!$B:$B),_xlfn.XMATCH($B$1,'Talnagögn | Numerical Data'!$1:$1))</f>
        <v>840.02928427819381</v>
      </c>
      <c r="S362" s="478" cm="1">
        <f t="array" ref="S362">INDEX('Talnagögn | Numerical Data'!$1:$1048576,_xlfn.XMATCH($B362,'Talnagögn | Numerical Data'!$C:$C),_xlfn.XMATCH($B$5,'Talnagögn | Numerical Data'!$1:$1))/INDEX('Talnagögn | Numerical Data'!$1:$1048576,_xlfn.XMATCH($A362,'Talnagögn | Numerical Data'!$B:$B),_xlfn.XMATCH($B$1,'Talnagögn | Numerical Data'!$1:$1))-1</f>
        <v>1.4383411085679554</v>
      </c>
      <c r="T362" s="178"/>
      <c r="U362" s="178"/>
      <c r="V362" s="410"/>
      <c r="Y362" s="458" t="str">
        <f>'Talnagögn | Numerical Data'!$G$90</f>
        <v>Aluminium Production</v>
      </c>
      <c r="Z362" s="466" cm="1">
        <f t="array" ref="Z362">INDEX('Talnagögn | Numerical Data'!$1:$1048576,_xlfn.XMATCH($A362,'Talnagögn | Numerical Data'!$B:$B),_xlfn.XMATCH($A$1,'Talnagögn | Numerical Data'!$1:$1))</f>
        <v>1290.3163042728158</v>
      </c>
      <c r="AA362" s="467">
        <f>Z362/$F$366</f>
        <v>0.71907165431340903</v>
      </c>
      <c r="AB362" s="468" cm="1">
        <f t="array" ref="AB362">INDEX('Talnagögn | Numerical Data'!$1:$1048576,_xlfn.XMATCH($A362,'Talnagögn | Numerical Data'!$B:$B),_xlfn.XMATCH($A$1,'Talnagögn | Numerical Data'!$1:$1))-INDEX('Talnagögn | Numerical Data'!$1:$1048576,_xlfn.XMATCH($A362,'Talnagögn | Numerical Data'!$B:$B),_xlfn.XMATCH($B$3,'Talnagögn | Numerical Data'!$1:$1))</f>
        <v>-70.095350678775731</v>
      </c>
      <c r="AC362" s="469" cm="1">
        <f t="array" ref="AC362">INDEX('Talnagögn | Numerical Data'!$1:$1048576,_xlfn.XMATCH($A362,'Talnagögn | Numerical Data'!$B:$B),_xlfn.XMATCH($A$1,'Talnagögn | Numerical Data'!$1:$1))/INDEX('Talnagögn | Numerical Data'!$1:$1048576,_xlfn.XMATCH($A362,'Talnagögn | Numerical Data'!$B:$B),_xlfn.XMATCH($B$3,'Talnagögn | Numerical Data'!$1:$1))-1</f>
        <v>-5.152510302572344E-2</v>
      </c>
      <c r="AD362" s="468" cm="1">
        <f t="array" ref="AD362">INDEX('Talnagögn | Numerical Data'!$1:$1048576,_xlfn.XMATCH($A362,'Talnagögn | Numerical Data'!$B:$B),_xlfn.XMATCH($A$1,'Talnagögn | Numerical Data'!$1:$1))-INDEX('Talnagögn | Numerical Data'!$1:$1048576,_xlfn.XMATCH($A362,'Talnagögn | Numerical Data'!$B:$B),_xlfn.XMATCH($B$2,'Talnagögn | Numerical Data'!$1:$1))</f>
        <v>845.50778810572865</v>
      </c>
      <c r="AE362" s="467" cm="1">
        <f t="array" ref="AE362">INDEX('Talnagögn | Numerical Data'!$1:$1048576,_xlfn.XMATCH($A362,'Talnagögn | Numerical Data'!$B:$B),_xlfn.XMATCH($A$1,'Talnagögn | Numerical Data'!$1:$1))/INDEX('Talnagögn | Numerical Data'!$1:$1048576,_xlfn.XMATCH($A362,'Talnagögn | Numerical Data'!$B:$B),_xlfn.XMATCH($B$2,'Talnagögn | Numerical Data'!$1:$1))-1</f>
        <v>1.9008354322697447</v>
      </c>
      <c r="AF362" s="468" cm="1">
        <f t="array" ref="AF362">INDEX('Talnagögn | Numerical Data'!$1:$1048576,_xlfn.XMATCH($A362,'Talnagögn | Numerical Data'!$B:$B),_xlfn.XMATCH($A$1,'Talnagögn | Numerical Data'!$1:$1))-INDEX('Talnagögn | Numerical Data'!$1:$1048576,_xlfn.XMATCH($A362,'Talnagögn | Numerical Data'!$B:$B),_xlfn.XMATCH($B$1,'Talnagögn | Numerical Data'!$1:$1))</f>
        <v>706.28983150200986</v>
      </c>
      <c r="AG362" s="470" cm="1">
        <f t="array" ref="AG362">INDEX('Talnagögn | Numerical Data'!$1:$1048576,_xlfn.XMATCH($A362,'Talnagögn | Numerical Data'!$B:$B),_xlfn.XMATCH($A$1,'Talnagögn | Numerical Data'!$1:$1))/INDEX('Talnagögn | Numerical Data'!$1:$1048576,_xlfn.XMATCH($A362,'Talnagögn | Numerical Data'!$B:$B),_xlfn.XMATCH($B$1,'Talnagögn | Numerical Data'!$1:$1))-1</f>
        <v>1.209345576667352</v>
      </c>
      <c r="AI362" s="458" t="str">
        <f>'Talnagögn | Numerical Data'!$G$90</f>
        <v>Aluminium Production</v>
      </c>
      <c r="AJ362" s="468" cm="1">
        <f t="array" ref="AJ362">INDEX('Talnagögn | Numerical Data'!$1:$1048576,_xlfn.XMATCH($B362,'Talnagögn | Numerical Data'!$C:$C),_xlfn.XMATCH($B$4,'Talnagögn | Numerical Data'!$1:$1))-INDEX('Talnagögn | Numerical Data'!$1:$1048576,_xlfn.XMATCH($A362,'Talnagögn | Numerical Data'!$B:$B),_xlfn.XMATCH($B$2,'Talnagögn | Numerical Data'!$1:$1))</f>
        <v>974.30051059701464</v>
      </c>
      <c r="AK362" s="467" cm="1">
        <f t="array" ref="AK362">INDEX('Talnagögn | Numerical Data'!$1:$1048576,_xlfn.XMATCH($B362,'Talnagögn | Numerical Data'!$C:$C),_xlfn.XMATCH($B$4,'Talnagögn | Numerical Data'!$1:$1))/INDEX('Talnagögn | Numerical Data'!$1:$1048576,_xlfn.XMATCH($A362,'Talnagögn | Numerical Data'!$B:$B),_xlfn.XMATCH($B$2,'Talnagögn | Numerical Data'!$1:$1))-1</f>
        <v>2.1903818726146649</v>
      </c>
      <c r="AL362" s="466" cm="1">
        <f t="array" ref="AL362">INDEX('Talnagögn | Numerical Data'!$1:$1048576,_xlfn.XMATCH($B362,'Talnagögn | Numerical Data'!$C:$C),_xlfn.XMATCH($B$5,'Talnagögn | Numerical Data'!$1:$1))-INDEX('Talnagögn | Numerical Data'!$1:$1048576,_xlfn.XMATCH($A362,'Talnagögn | Numerical Data'!$B:$B),_xlfn.XMATCH($B$1,'Talnagögn | Numerical Data'!$1:$1))</f>
        <v>840.02928427819381</v>
      </c>
      <c r="AM362" s="478" cm="1">
        <f t="array" ref="AM362">INDEX('Talnagögn | Numerical Data'!$1:$1048576,_xlfn.XMATCH($B362,'Talnagögn | Numerical Data'!$C:$C),_xlfn.XMATCH($B$5,'Talnagögn | Numerical Data'!$1:$1))/INDEX('Talnagögn | Numerical Data'!$1:$1048576,_xlfn.XMATCH($A362,'Talnagögn | Numerical Data'!$B:$B),_xlfn.XMATCH($B$1,'Talnagögn | Numerical Data'!$1:$1))-1</f>
        <v>1.4383411085679554</v>
      </c>
      <c r="AN362" s="178"/>
      <c r="AO362" s="178"/>
      <c r="AP362" s="178"/>
      <c r="AQ362" s="178"/>
      <c r="AR362" s="178"/>
      <c r="AS362" s="178"/>
    </row>
    <row r="363" spans="1:46" s="21" customFormat="1" ht="21" customHeight="1" x14ac:dyDescent="0.4">
      <c r="A363" s="27" t="s">
        <v>192</v>
      </c>
      <c r="B363" s="27" t="s">
        <v>239</v>
      </c>
      <c r="C363" s="27" t="s">
        <v>245</v>
      </c>
      <c r="D363" s="131" t="s">
        <v>44</v>
      </c>
      <c r="E363" s="459" t="str">
        <f>'Talnagögn | Numerical Data'!$E$91</f>
        <v>Kísil- og kísilmálmframleiðsla</v>
      </c>
      <c r="F363" s="468" cm="1">
        <f t="array" ref="F363">INDEX('Talnagögn | Numerical Data'!$1:$1048576,_xlfn.XMATCH($A363,'Talnagögn | Numerical Data'!$B:$B),_xlfn.XMATCH($A$1,'Talnagögn | Numerical Data'!$1:$1))</f>
        <v>384.34514535840748</v>
      </c>
      <c r="G363" s="471">
        <f>F363/$F$366</f>
        <v>0.21418910896886842</v>
      </c>
      <c r="H363" s="468" cm="1">
        <f t="array" ref="H363">INDEX('Talnagögn | Numerical Data'!$1:$1048576,_xlfn.XMATCH($A363,'Talnagögn | Numerical Data'!$B:$B),_xlfn.XMATCH($A$1,'Talnagögn | Numerical Data'!$1:$1))-INDEX('Talnagögn | Numerical Data'!$1:$1048576,_xlfn.XMATCH($A363,'Talnagögn | Numerical Data'!$B:$B),_xlfn.XMATCH($B$3,'Talnagögn | Numerical Data'!$1:$1))</f>
        <v>-142.97401442709253</v>
      </c>
      <c r="I363" s="471" cm="1">
        <f t="array" ref="I363">INDEX('Talnagögn | Numerical Data'!$1:$1048576,_xlfn.XMATCH($A363,'Talnagögn | Numerical Data'!$B:$B),_xlfn.XMATCH($A$1,'Talnagögn | Numerical Data'!$1:$1))/INDEX('Talnagögn | Numerical Data'!$1:$1048576,_xlfn.XMATCH($A363,'Talnagögn | Numerical Data'!$B:$B),_xlfn.XMATCH($B$3,'Talnagögn | Numerical Data'!$1:$1))-1</f>
        <v>-0.27113373708107003</v>
      </c>
      <c r="J363" s="473" cm="1">
        <f t="array" ref="J363">INDEX('Talnagögn | Numerical Data'!$1:$1048576,_xlfn.XMATCH($A363,'Talnagögn | Numerical Data'!$B:$B),_xlfn.XMATCH($A$1,'Talnagögn | Numerical Data'!$1:$1))-INDEX('Talnagögn | Numerical Data'!$1:$1048576,_xlfn.XMATCH($A363,'Talnagögn | Numerical Data'!$B:$B),_xlfn.XMATCH($B$2,'Talnagögn | Numerical Data'!$1:$1))</f>
        <v>4.402251352007454</v>
      </c>
      <c r="K363" s="472" cm="1">
        <f t="array" ref="K363">INDEX('Talnagögn | Numerical Data'!$1:$1048576,_xlfn.XMATCH($A363,'Talnagögn | Numerical Data'!$B:$B),_xlfn.XMATCH($A$1,'Talnagögn | Numerical Data'!$1:$1))/INDEX('Talnagögn | Numerical Data'!$1:$1048576,_xlfn.XMATCH($A363,'Talnagögn | Numerical Data'!$B:$B),_xlfn.XMATCH($B$2,'Talnagögn | Numerical Data'!$1:$1))-1</f>
        <v>1.1586613202807516E-2</v>
      </c>
      <c r="L363" s="468" cm="1">
        <f t="array" ref="L363">INDEX('Talnagögn | Numerical Data'!$1:$1048576,_xlfn.XMATCH($A363,'Talnagögn | Numerical Data'!$B:$B),_xlfn.XMATCH($A$1,'Talnagögn | Numerical Data'!$1:$1))-INDEX('Talnagögn | Numerical Data'!$1:$1048576,_xlfn.XMATCH($A363,'Talnagögn | Numerical Data'!$B:$B),_xlfn.XMATCH($B$1,'Talnagögn | Numerical Data'!$1:$1))</f>
        <v>173.79042365174081</v>
      </c>
      <c r="M363" s="470" cm="1">
        <f t="array" ref="M363">INDEX('Talnagögn | Numerical Data'!$1:$1048576,_xlfn.XMATCH($A363,'Talnagögn | Numerical Data'!$B:$B),_xlfn.XMATCH($A$1,'Talnagögn | Numerical Data'!$1:$1))/INDEX('Talnagögn | Numerical Data'!$1:$1048576,_xlfn.XMATCH($A363,'Talnagögn | Numerical Data'!$B:$B),_xlfn.XMATCH($B$1,'Talnagögn | Numerical Data'!$1:$1))-1</f>
        <v>0.82539314361164573</v>
      </c>
      <c r="O363" s="459" t="str">
        <f>'Talnagögn | Numerical Data'!$E$91</f>
        <v>Kísil- og kísilmálmframleiðsla</v>
      </c>
      <c r="P363" s="468" cm="1">
        <f t="array" ref="P363">INDEX('Talnagögn | Numerical Data'!$1:$1048576,_xlfn.XMATCH($B363,'Talnagögn | Numerical Data'!$C:$C),_xlfn.XMATCH($B$4,'Talnagögn | Numerical Data'!$1:$1))-INDEX('Talnagögn | Numerical Data'!$1:$1048576,_xlfn.XMATCH($A363,'Talnagögn | Numerical Data'!$B:$B),_xlfn.XMATCH($B$2,'Talnagögn | Numerical Data'!$1:$1))</f>
        <v>122.34357826246662</v>
      </c>
      <c r="Q363" s="471" cm="1">
        <f t="array" ref="Q363">INDEX('Talnagögn | Numerical Data'!$1:$1048576,_xlfn.XMATCH($B363,'Talnagögn | Numerical Data'!$C:$C),_xlfn.XMATCH($B$4,'Talnagögn | Numerical Data'!$1:$1))/INDEX('Talnagögn | Numerical Data'!$1:$1048576,_xlfn.XMATCH($A363,'Talnagögn | Numerical Data'!$B:$B),_xlfn.XMATCH($B$2,'Talnagögn | Numerical Data'!$1:$1))-1</f>
        <v>0.32200517549462515</v>
      </c>
      <c r="R363" s="468" cm="1">
        <f t="array" ref="R363">INDEX('Talnagögn | Numerical Data'!$1:$1048576,_xlfn.XMATCH($B363,'Talnagögn | Numerical Data'!$C:$C),_xlfn.XMATCH($B$5,'Talnagögn | Numerical Data'!$1:$1))-INDEX('Talnagögn | Numerical Data'!$1:$1048576,_xlfn.XMATCH($A363,'Talnagögn | Numerical Data'!$B:$B),_xlfn.XMATCH($B$1,'Talnagögn | Numerical Data'!$1:$1))</f>
        <v>291.73175056219998</v>
      </c>
      <c r="S363" s="470" cm="1">
        <f t="array" ref="S363">INDEX('Talnagögn | Numerical Data'!$1:$1048576,_xlfn.XMATCH($B363,'Talnagögn | Numerical Data'!$C:$C),_xlfn.XMATCH($B$5,'Talnagögn | Numerical Data'!$1:$1))/INDEX('Talnagögn | Numerical Data'!$1:$1048576,_xlfn.XMATCH($A363,'Talnagögn | Numerical Data'!$B:$B),_xlfn.XMATCH($B$1,'Talnagögn | Numerical Data'!$1:$1))-1</f>
        <v>1.3855388670344078</v>
      </c>
      <c r="T363" s="178"/>
      <c r="U363" s="178"/>
      <c r="V363" s="410"/>
      <c r="Y363" s="459" t="str">
        <f>'Talnagögn | Numerical Data'!$G$91</f>
        <v>Ferrosilicon and Silicon Metal Production</v>
      </c>
      <c r="Z363" s="468" cm="1">
        <f t="array" ref="Z363">INDEX('Talnagögn | Numerical Data'!$1:$1048576,_xlfn.XMATCH($A363,'Talnagögn | Numerical Data'!$B:$B),_xlfn.XMATCH($A$1,'Talnagögn | Numerical Data'!$1:$1))</f>
        <v>384.34514535840748</v>
      </c>
      <c r="AA363" s="471">
        <f>Z363/$F$366</f>
        <v>0.21418910896886842</v>
      </c>
      <c r="AB363" s="468" cm="1">
        <f t="array" ref="AB363">INDEX('Talnagögn | Numerical Data'!$1:$1048576,_xlfn.XMATCH($A363,'Talnagögn | Numerical Data'!$B:$B),_xlfn.XMATCH($A$1,'Talnagögn | Numerical Data'!$1:$1))-INDEX('Talnagögn | Numerical Data'!$1:$1048576,_xlfn.XMATCH($A363,'Talnagögn | Numerical Data'!$B:$B),_xlfn.XMATCH($B$3,'Talnagögn | Numerical Data'!$1:$1))</f>
        <v>-142.97401442709253</v>
      </c>
      <c r="AC363" s="471" cm="1">
        <f t="array" ref="AC363">INDEX('Talnagögn | Numerical Data'!$1:$1048576,_xlfn.XMATCH($A363,'Talnagögn | Numerical Data'!$B:$B),_xlfn.XMATCH($A$1,'Talnagögn | Numerical Data'!$1:$1))/INDEX('Talnagögn | Numerical Data'!$1:$1048576,_xlfn.XMATCH($A363,'Talnagögn | Numerical Data'!$B:$B),_xlfn.XMATCH($B$3,'Talnagögn | Numerical Data'!$1:$1))-1</f>
        <v>-0.27113373708107003</v>
      </c>
      <c r="AD363" s="473" cm="1">
        <f t="array" ref="AD363">INDEX('Talnagögn | Numerical Data'!$1:$1048576,_xlfn.XMATCH($A363,'Talnagögn | Numerical Data'!$B:$B),_xlfn.XMATCH($A$1,'Talnagögn | Numerical Data'!$1:$1))-INDEX('Talnagögn | Numerical Data'!$1:$1048576,_xlfn.XMATCH($A363,'Talnagögn | Numerical Data'!$B:$B),_xlfn.XMATCH($B$2,'Talnagögn | Numerical Data'!$1:$1))</f>
        <v>4.402251352007454</v>
      </c>
      <c r="AE363" s="472" cm="1">
        <f t="array" ref="AE363">INDEX('Talnagögn | Numerical Data'!$1:$1048576,_xlfn.XMATCH($A363,'Talnagögn | Numerical Data'!$B:$B),_xlfn.XMATCH($A$1,'Talnagögn | Numerical Data'!$1:$1))/INDEX('Talnagögn | Numerical Data'!$1:$1048576,_xlfn.XMATCH($A363,'Talnagögn | Numerical Data'!$B:$B),_xlfn.XMATCH($B$2,'Talnagögn | Numerical Data'!$1:$1))-1</f>
        <v>1.1586613202807516E-2</v>
      </c>
      <c r="AF363" s="468" cm="1">
        <f t="array" ref="AF363">INDEX('Talnagögn | Numerical Data'!$1:$1048576,_xlfn.XMATCH($A363,'Talnagögn | Numerical Data'!$B:$B),_xlfn.XMATCH($A$1,'Talnagögn | Numerical Data'!$1:$1))-INDEX('Talnagögn | Numerical Data'!$1:$1048576,_xlfn.XMATCH($A363,'Talnagögn | Numerical Data'!$B:$B),_xlfn.XMATCH($B$1,'Talnagögn | Numerical Data'!$1:$1))</f>
        <v>173.79042365174081</v>
      </c>
      <c r="AG363" s="470" cm="1">
        <f t="array" ref="AG363">INDEX('Talnagögn | Numerical Data'!$1:$1048576,_xlfn.XMATCH($A363,'Talnagögn | Numerical Data'!$B:$B),_xlfn.XMATCH($A$1,'Talnagögn | Numerical Data'!$1:$1))/INDEX('Talnagögn | Numerical Data'!$1:$1048576,_xlfn.XMATCH($A363,'Talnagögn | Numerical Data'!$B:$B),_xlfn.XMATCH($B$1,'Talnagögn | Numerical Data'!$1:$1))-1</f>
        <v>0.82539314361164573</v>
      </c>
      <c r="AI363" s="459" t="str">
        <f>'Talnagögn | Numerical Data'!$G$91</f>
        <v>Ferrosilicon and Silicon Metal Production</v>
      </c>
      <c r="AJ363" s="468" cm="1">
        <f t="array" ref="AJ363">INDEX('Talnagögn | Numerical Data'!$1:$1048576,_xlfn.XMATCH($B363,'Talnagögn | Numerical Data'!$C:$C),_xlfn.XMATCH($B$4,'Talnagögn | Numerical Data'!$1:$1))-INDEX('Talnagögn | Numerical Data'!$1:$1048576,_xlfn.XMATCH($A363,'Talnagögn | Numerical Data'!$B:$B),_xlfn.XMATCH($B$2,'Talnagögn | Numerical Data'!$1:$1))</f>
        <v>122.34357826246662</v>
      </c>
      <c r="AK363" s="471" cm="1">
        <f t="array" ref="AK363">INDEX('Talnagögn | Numerical Data'!$1:$1048576,_xlfn.XMATCH($B363,'Talnagögn | Numerical Data'!$C:$C),_xlfn.XMATCH($B$4,'Talnagögn | Numerical Data'!$1:$1))/INDEX('Talnagögn | Numerical Data'!$1:$1048576,_xlfn.XMATCH($A363,'Talnagögn | Numerical Data'!$B:$B),_xlfn.XMATCH($B$2,'Talnagögn | Numerical Data'!$1:$1))-1</f>
        <v>0.32200517549462515</v>
      </c>
      <c r="AL363" s="468" cm="1">
        <f t="array" ref="AL363">INDEX('Talnagögn | Numerical Data'!$1:$1048576,_xlfn.XMATCH($B363,'Talnagögn | Numerical Data'!$C:$C),_xlfn.XMATCH($B$5,'Talnagögn | Numerical Data'!$1:$1))-INDEX('Talnagögn | Numerical Data'!$1:$1048576,_xlfn.XMATCH($A363,'Talnagögn | Numerical Data'!$B:$B),_xlfn.XMATCH($B$1,'Talnagögn | Numerical Data'!$1:$1))</f>
        <v>291.73175056219998</v>
      </c>
      <c r="AM363" s="470" cm="1">
        <f t="array" ref="AM363">INDEX('Talnagögn | Numerical Data'!$1:$1048576,_xlfn.XMATCH($B363,'Talnagögn | Numerical Data'!$C:$C),_xlfn.XMATCH($B$5,'Talnagögn | Numerical Data'!$1:$1))/INDEX('Talnagögn | Numerical Data'!$1:$1048576,_xlfn.XMATCH($A363,'Talnagögn | Numerical Data'!$B:$B),_xlfn.XMATCH($B$1,'Talnagögn | Numerical Data'!$1:$1))-1</f>
        <v>1.3855388670344078</v>
      </c>
      <c r="AN363" s="178"/>
      <c r="AO363" s="178"/>
      <c r="AP363" s="178"/>
      <c r="AQ363" s="178"/>
      <c r="AR363" s="178"/>
      <c r="AS363" s="178"/>
    </row>
    <row r="364" spans="1:46" s="21" customFormat="1" ht="21" customHeight="1" x14ac:dyDescent="0.4">
      <c r="A364" s="27" t="s">
        <v>56</v>
      </c>
      <c r="B364" s="27" t="s">
        <v>257</v>
      </c>
      <c r="C364" s="27" t="s">
        <v>259</v>
      </c>
      <c r="D364" s="131" t="s">
        <v>44</v>
      </c>
      <c r="E364" s="459" t="str">
        <f>'Talnagögn | Numerical Data'!$E$92</f>
        <v>F-gös (m.a. kælimiðlar)</v>
      </c>
      <c r="F364" s="468" cm="1">
        <f t="array" ref="F364">INDEX('Talnagögn | Numerical Data'!$1:$1048576,_xlfn.XMATCH($A364,'Talnagögn | Numerical Data'!$B:$B),_xlfn.XMATCH($A$1,'Talnagögn | Numerical Data'!$1:$1))</f>
        <v>105.65811164441938</v>
      </c>
      <c r="G364" s="472">
        <f>F364/$F$366</f>
        <v>5.888149508782748E-2</v>
      </c>
      <c r="H364" s="473" cm="1">
        <f t="array" ref="H364">INDEX('Talnagögn | Numerical Data'!$1:$1048576,_xlfn.XMATCH($A364,'Talnagögn | Numerical Data'!$B:$B),_xlfn.XMATCH($A$1,'Talnagögn | Numerical Data'!$1:$1))-INDEX('Talnagögn | Numerical Data'!$1:$1048576,_xlfn.XMATCH($A364,'Talnagögn | Numerical Data'!$B:$B),_xlfn.XMATCH($B$3,'Talnagögn | Numerical Data'!$1:$1))</f>
        <v>-2.1265092400040118</v>
      </c>
      <c r="I364" s="472" cm="1">
        <f t="array" ref="I364">INDEX('Talnagögn | Numerical Data'!$1:$1048576,_xlfn.XMATCH($A364,'Talnagögn | Numerical Data'!$B:$B),_xlfn.XMATCH($A$1,'Talnagögn | Numerical Data'!$1:$1))/INDEX('Talnagögn | Numerical Data'!$1:$1048576,_xlfn.XMATCH($A364,'Talnagögn | Numerical Data'!$B:$B),_xlfn.XMATCH($B$3,'Talnagögn | Numerical Data'!$1:$1))-1</f>
        <v>-1.9729245439238041E-2</v>
      </c>
      <c r="J364" s="468" cm="1">
        <f t="array" ref="J364">INDEX('Talnagögn | Numerical Data'!$1:$1048576,_xlfn.XMATCH($A364,'Talnagögn | Numerical Data'!$B:$B),_xlfn.XMATCH($A$1,'Talnagögn | Numerical Data'!$1:$1))-INDEX('Talnagögn | Numerical Data'!$1:$1048576,_xlfn.XMATCH($A364,'Talnagögn | Numerical Data'!$B:$B),_xlfn.XMATCH($B$2,'Talnagögn | Numerical Data'!$1:$1))</f>
        <v>48.483462701774179</v>
      </c>
      <c r="K364" s="471" cm="1">
        <f t="array" ref="K364">INDEX('Talnagögn | Numerical Data'!$1:$1048576,_xlfn.XMATCH($A364,'Talnagögn | Numerical Data'!$B:$B),_xlfn.XMATCH($A$1,'Talnagögn | Numerical Data'!$1:$1))/INDEX('Talnagögn | Numerical Data'!$1:$1048576,_xlfn.XMATCH($A364,'Talnagögn | Numerical Data'!$B:$B),_xlfn.XMATCH($B$2,'Talnagögn | Numerical Data'!$1:$1))-1</f>
        <v>0.84798881319604447</v>
      </c>
      <c r="L364" s="468" cm="1">
        <f t="array" ref="L364">INDEX('Talnagögn | Numerical Data'!$1:$1048576,_xlfn.XMATCH($A364,'Talnagögn | Numerical Data'!$B:$B),_xlfn.XMATCH($A$1,'Talnagögn | Numerical Data'!$1:$1))-INDEX('Talnagögn | Numerical Data'!$1:$1048576,_xlfn.XMATCH($A364,'Talnagögn | Numerical Data'!$B:$B),_xlfn.XMATCH($B$1,'Talnagögn | Numerical Data'!$1:$1))</f>
        <v>105.0286774071989</v>
      </c>
      <c r="M364" s="470" cm="1">
        <f t="array" ref="M364">INDEX('Talnagögn | Numerical Data'!$1:$1048576,_xlfn.XMATCH($A364,'Talnagögn | Numerical Data'!$B:$B),_xlfn.XMATCH($A$1,'Talnagögn | Numerical Data'!$1:$1))/INDEX('Talnagögn | Numerical Data'!$1:$1048576,_xlfn.XMATCH($A364,'Talnagögn | Numerical Data'!$B:$B),_xlfn.XMATCH($B$1,'Talnagögn | Numerical Data'!$1:$1))-1</f>
        <v>166.86203450100686</v>
      </c>
      <c r="O364" s="459" t="str">
        <f>'Talnagögn | Numerical Data'!$E$92</f>
        <v>F-gös (m.a. kælimiðlar)</v>
      </c>
      <c r="P364" s="468" cm="1">
        <f t="array" ref="P364">INDEX('Talnagögn | Numerical Data'!$1:$1048576,_xlfn.XMATCH($B364,'Talnagögn | Numerical Data'!$C:$C),_xlfn.XMATCH($B$4,'Talnagögn | Numerical Data'!$1:$1))-INDEX('Talnagögn | Numerical Data'!$1:$1048576,_xlfn.XMATCH($A364,'Talnagögn | Numerical Data'!$B:$B),_xlfn.XMATCH($B$2,'Talnagögn | Numerical Data'!$1:$1))</f>
        <v>-22.151158626624799</v>
      </c>
      <c r="Q364" s="471" cm="1">
        <f t="array" ref="Q364">INDEX('Talnagögn | Numerical Data'!$1:$1048576,_xlfn.XMATCH($B364,'Talnagögn | Numerical Data'!$C:$C),_xlfn.XMATCH($B$4,'Talnagögn | Numerical Data'!$1:$1))/INDEX('Talnagögn | Numerical Data'!$1:$1048576,_xlfn.XMATCH($A364,'Talnagögn | Numerical Data'!$B:$B),_xlfn.XMATCH($B$2,'Talnagögn | Numerical Data'!$1:$1))-1</f>
        <v>-0.38742972692050548</v>
      </c>
      <c r="R364" s="468" cm="1">
        <f t="array" ref="R364">INDEX('Talnagögn | Numerical Data'!$1:$1048576,_xlfn.XMATCH($B364,'Talnagögn | Numerical Data'!$C:$C),_xlfn.XMATCH($B$5,'Talnagögn | Numerical Data'!$1:$1))-INDEX('Talnagögn | Numerical Data'!$1:$1048576,_xlfn.XMATCH($A364,'Talnagögn | Numerical Data'!$B:$B),_xlfn.XMATCH($B$1,'Talnagögn | Numerical Data'!$1:$1))</f>
        <v>10.138431133444067</v>
      </c>
      <c r="S364" s="470" cm="1">
        <f t="array" ref="S364">INDEX('Talnagögn | Numerical Data'!$1:$1048576,_xlfn.XMATCH($B364,'Talnagögn | Numerical Data'!$C:$C),_xlfn.XMATCH($B$5,'Talnagögn | Numerical Data'!$1:$1))/INDEX('Talnagögn | Numerical Data'!$1:$1048576,_xlfn.XMATCH($A364,'Talnagögn | Numerical Data'!$B:$B),_xlfn.XMATCH($B$1,'Talnagögn | Numerical Data'!$1:$1))-1</f>
        <v>16.107212690263506</v>
      </c>
      <c r="T364" s="178"/>
      <c r="U364" s="178"/>
      <c r="V364" s="410"/>
      <c r="Y364" s="459" t="str">
        <f>'Talnagögn | Numerical Data'!$G$92</f>
        <v>F-Gases</v>
      </c>
      <c r="Z364" s="468" cm="1">
        <f t="array" ref="Z364">INDEX('Talnagögn | Numerical Data'!$1:$1048576,_xlfn.XMATCH($A364,'Talnagögn | Numerical Data'!$B:$B),_xlfn.XMATCH($A$1,'Talnagögn | Numerical Data'!$1:$1))</f>
        <v>105.65811164441938</v>
      </c>
      <c r="AA364" s="472">
        <f>Z364/$F$366</f>
        <v>5.888149508782748E-2</v>
      </c>
      <c r="AB364" s="473" cm="1">
        <f t="array" ref="AB364">INDEX('Talnagögn | Numerical Data'!$1:$1048576,_xlfn.XMATCH($A364,'Talnagögn | Numerical Data'!$B:$B),_xlfn.XMATCH($A$1,'Talnagögn | Numerical Data'!$1:$1))-INDEX('Talnagögn | Numerical Data'!$1:$1048576,_xlfn.XMATCH($A364,'Talnagögn | Numerical Data'!$B:$B),_xlfn.XMATCH($B$3,'Talnagögn | Numerical Data'!$1:$1))</f>
        <v>-2.1265092400040118</v>
      </c>
      <c r="AC364" s="472" cm="1">
        <f t="array" ref="AC364">INDEX('Talnagögn | Numerical Data'!$1:$1048576,_xlfn.XMATCH($A364,'Talnagögn | Numerical Data'!$B:$B),_xlfn.XMATCH($A$1,'Talnagögn | Numerical Data'!$1:$1))/INDEX('Talnagögn | Numerical Data'!$1:$1048576,_xlfn.XMATCH($A364,'Talnagögn | Numerical Data'!$B:$B),_xlfn.XMATCH($B$3,'Talnagögn | Numerical Data'!$1:$1))-1</f>
        <v>-1.9729245439238041E-2</v>
      </c>
      <c r="AD364" s="468" cm="1">
        <f t="array" ref="AD364">INDEX('Talnagögn | Numerical Data'!$1:$1048576,_xlfn.XMATCH($A364,'Talnagögn | Numerical Data'!$B:$B),_xlfn.XMATCH($A$1,'Talnagögn | Numerical Data'!$1:$1))-INDEX('Talnagögn | Numerical Data'!$1:$1048576,_xlfn.XMATCH($A364,'Talnagögn | Numerical Data'!$B:$B),_xlfn.XMATCH($B$2,'Talnagögn | Numerical Data'!$1:$1))</f>
        <v>48.483462701774179</v>
      </c>
      <c r="AE364" s="471" cm="1">
        <f t="array" ref="AE364">INDEX('Talnagögn | Numerical Data'!$1:$1048576,_xlfn.XMATCH($A364,'Talnagögn | Numerical Data'!$B:$B),_xlfn.XMATCH($A$1,'Talnagögn | Numerical Data'!$1:$1))/INDEX('Talnagögn | Numerical Data'!$1:$1048576,_xlfn.XMATCH($A364,'Talnagögn | Numerical Data'!$B:$B),_xlfn.XMATCH($B$2,'Talnagögn | Numerical Data'!$1:$1))-1</f>
        <v>0.84798881319604447</v>
      </c>
      <c r="AF364" s="468" cm="1">
        <f t="array" ref="AF364">INDEX('Talnagögn | Numerical Data'!$1:$1048576,_xlfn.XMATCH($A364,'Talnagögn | Numerical Data'!$B:$B),_xlfn.XMATCH($A$1,'Talnagögn | Numerical Data'!$1:$1))-INDEX('Talnagögn | Numerical Data'!$1:$1048576,_xlfn.XMATCH($A364,'Talnagögn | Numerical Data'!$B:$B),_xlfn.XMATCH($B$1,'Talnagögn | Numerical Data'!$1:$1))</f>
        <v>105.0286774071989</v>
      </c>
      <c r="AG364" s="470" cm="1">
        <f t="array" ref="AG364">INDEX('Talnagögn | Numerical Data'!$1:$1048576,_xlfn.XMATCH($A364,'Talnagögn | Numerical Data'!$B:$B),_xlfn.XMATCH($A$1,'Talnagögn | Numerical Data'!$1:$1))/INDEX('Talnagögn | Numerical Data'!$1:$1048576,_xlfn.XMATCH($A364,'Talnagögn | Numerical Data'!$B:$B),_xlfn.XMATCH($B$1,'Talnagögn | Numerical Data'!$1:$1))-1</f>
        <v>166.86203450100686</v>
      </c>
      <c r="AI364" s="459" t="str">
        <f>'Talnagögn | Numerical Data'!$G$92</f>
        <v>F-Gases</v>
      </c>
      <c r="AJ364" s="468" cm="1">
        <f t="array" ref="AJ364">INDEX('Talnagögn | Numerical Data'!$1:$1048576,_xlfn.XMATCH($B364,'Talnagögn | Numerical Data'!$C:$C),_xlfn.XMATCH($B$4,'Talnagögn | Numerical Data'!$1:$1))-INDEX('Talnagögn | Numerical Data'!$1:$1048576,_xlfn.XMATCH($A364,'Talnagögn | Numerical Data'!$B:$B),_xlfn.XMATCH($B$2,'Talnagögn | Numerical Data'!$1:$1))</f>
        <v>-22.151158626624799</v>
      </c>
      <c r="AK364" s="471" cm="1">
        <f t="array" ref="AK364">INDEX('Talnagögn | Numerical Data'!$1:$1048576,_xlfn.XMATCH($B364,'Talnagögn | Numerical Data'!$C:$C),_xlfn.XMATCH($B$4,'Talnagögn | Numerical Data'!$1:$1))/INDEX('Talnagögn | Numerical Data'!$1:$1048576,_xlfn.XMATCH($A364,'Talnagögn | Numerical Data'!$B:$B),_xlfn.XMATCH($B$2,'Talnagögn | Numerical Data'!$1:$1))-1</f>
        <v>-0.38742972692050548</v>
      </c>
      <c r="AL364" s="468" cm="1">
        <f t="array" ref="AL364">INDEX('Talnagögn | Numerical Data'!$1:$1048576,_xlfn.XMATCH($B364,'Talnagögn | Numerical Data'!$C:$C),_xlfn.XMATCH($B$5,'Talnagögn | Numerical Data'!$1:$1))-INDEX('Talnagögn | Numerical Data'!$1:$1048576,_xlfn.XMATCH($A364,'Talnagögn | Numerical Data'!$B:$B),_xlfn.XMATCH($B$1,'Talnagögn | Numerical Data'!$1:$1))</f>
        <v>10.138431133444067</v>
      </c>
      <c r="AM364" s="470" cm="1">
        <f t="array" ref="AM364">INDEX('Talnagögn | Numerical Data'!$1:$1048576,_xlfn.XMATCH($B364,'Talnagögn | Numerical Data'!$C:$C),_xlfn.XMATCH($B$5,'Talnagögn | Numerical Data'!$1:$1))/INDEX('Talnagögn | Numerical Data'!$1:$1048576,_xlfn.XMATCH($A364,'Talnagögn | Numerical Data'!$B:$B),_xlfn.XMATCH($B$1,'Talnagögn | Numerical Data'!$1:$1))-1</f>
        <v>16.107212690263506</v>
      </c>
      <c r="AN364" s="178"/>
      <c r="AO364" s="178"/>
      <c r="AP364" s="178"/>
      <c r="AQ364" s="178"/>
      <c r="AR364" s="178"/>
      <c r="AS364" s="178"/>
    </row>
    <row r="365" spans="1:46" s="21" customFormat="1" ht="21" customHeight="1" x14ac:dyDescent="0.4">
      <c r="A365" s="130" t="s">
        <v>89</v>
      </c>
      <c r="B365" s="27" t="s">
        <v>258</v>
      </c>
      <c r="C365" s="27" t="s">
        <v>260</v>
      </c>
      <c r="D365" s="131" t="s">
        <v>44</v>
      </c>
      <c r="E365" s="460" t="s">
        <v>23</v>
      </c>
      <c r="F365" s="474" cm="1">
        <f t="array" ref="F365">INDEX('Talnagögn | Numerical Data'!$1:$1048576,_xlfn.XMATCH($A365,'Talnagögn | Numerical Data'!$B:$B),_xlfn.XMATCH($A$1,'Talnagögn | Numerical Data'!$1:$1))</f>
        <v>14.100085963613324</v>
      </c>
      <c r="G365" s="475">
        <f>F365/$F$366</f>
        <v>7.8577416298949553E-3</v>
      </c>
      <c r="H365" s="912" cm="1">
        <f t="array" ref="H365">INDEX('Talnagögn | Numerical Data'!$1:$1048576,_xlfn.XMATCH($A365,'Talnagögn | Numerical Data'!$B:$B),_xlfn.XMATCH($A$1,'Talnagögn | Numerical Data'!$1:$1))-INDEX('Talnagögn | Numerical Data'!$1:$1048576,_xlfn.XMATCH($A365,'Talnagögn | Numerical Data'!$B:$B),_xlfn.XMATCH($B$3,'Talnagögn | Numerical Data'!$1:$1))</f>
        <v>2.145556762395989</v>
      </c>
      <c r="I365" s="476" cm="1">
        <f t="array" ref="I365">INDEX('Talnagögn | Numerical Data'!$1:$1048576,_xlfn.XMATCH($A365,'Talnagögn | Numerical Data'!$B:$B),_xlfn.XMATCH($A$1,'Talnagögn | Numerical Data'!$1:$1))/INDEX('Talnagögn | Numerical Data'!$1:$1048576,_xlfn.XMATCH($A365,'Talnagögn | Numerical Data'!$B:$B),_xlfn.XMATCH($B$3,'Talnagögn | Numerical Data'!$1:$1))-1</f>
        <v>0.17947647509008613</v>
      </c>
      <c r="J365" s="474" cm="1">
        <f t="array" ref="J365">INDEX('Talnagögn | Numerical Data'!$1:$1048576,_xlfn.XMATCH($A365,'Talnagögn | Numerical Data'!$B:$B),_xlfn.XMATCH($A$1,'Talnagögn | Numerical Data'!$1:$1))-INDEX('Talnagögn | Numerical Data'!$1:$1048576,_xlfn.XMATCH($A365,'Talnagögn | Numerical Data'!$B:$B),_xlfn.XMATCH($B$2,'Talnagögn | Numerical Data'!$1:$1))</f>
        <v>-54.876182779772975</v>
      </c>
      <c r="K365" s="476" cm="1">
        <f t="array" ref="K365">INDEX('Talnagögn | Numerical Data'!$1:$1048576,_xlfn.XMATCH($A365,'Talnagögn | Numerical Data'!$B:$B),_xlfn.XMATCH($A$1,'Talnagögn | Numerical Data'!$1:$1))/INDEX('Talnagögn | Numerical Data'!$1:$1048576,_xlfn.XMATCH($A365,'Talnagögn | Numerical Data'!$B:$B),_xlfn.XMATCH($B$2,'Talnagögn | Numerical Data'!$1:$1))-1</f>
        <v>-0.79558062185024625</v>
      </c>
      <c r="L365" s="474" cm="1">
        <f t="array" ref="L365">INDEX('Talnagögn | Numerical Data'!$1:$1048576,_xlfn.XMATCH($A365,'Talnagögn | Numerical Data'!$B:$B),_xlfn.XMATCH($A$1,'Talnagögn | Numerical Data'!$1:$1))-INDEX('Talnagögn | Numerical Data'!$1:$1048576,_xlfn.XMATCH($A365,'Talnagögn | Numerical Data'!$B:$B),_xlfn.XMATCH($B$1,'Talnagögn | Numerical Data'!$1:$1))</f>
        <v>-92.863874428835516</v>
      </c>
      <c r="M365" s="477" cm="1">
        <f t="array" ref="M365">INDEX('Talnagögn | Numerical Data'!$1:$1048576,_xlfn.XMATCH($A365,'Talnagögn | Numerical Data'!$B:$B),_xlfn.XMATCH($A$1,'Talnagögn | Numerical Data'!$1:$1))/INDEX('Talnagögn | Numerical Data'!$1:$1048576,_xlfn.XMATCH($A365,'Talnagögn | Numerical Data'!$B:$B),_xlfn.XMATCH($B$1,'Talnagögn | Numerical Data'!$1:$1))-1</f>
        <v>-0.8681790959134239</v>
      </c>
      <c r="O365" s="460" t="s">
        <v>23</v>
      </c>
      <c r="P365" s="474" cm="1">
        <f t="array" ref="P365">INDEX('Talnagögn | Numerical Data'!$1:$1048576,_xlfn.XMATCH($B365,'Talnagögn | Numerical Data'!$C:$C),_xlfn.XMATCH($B$4,'Talnagögn | Numerical Data'!$1:$1))-INDEX('Talnagögn | Numerical Data'!$1:$1048576,_xlfn.XMATCH($A365,'Talnagögn | Numerical Data'!$B:$B),_xlfn.XMATCH($B$2,'Talnagögn | Numerical Data'!$1:$1))</f>
        <v>-55.673416548737677</v>
      </c>
      <c r="Q365" s="476" cm="1">
        <f t="array" ref="Q365">INDEX('Talnagögn | Numerical Data'!$1:$1048576,_xlfn.XMATCH($B365,'Talnagögn | Numerical Data'!$C:$C),_xlfn.XMATCH($B$4,'Talnagögn | Numerical Data'!$1:$1))/INDEX('Talnagögn | Numerical Data'!$1:$1048576,_xlfn.XMATCH($A365,'Talnagögn | Numerical Data'!$B:$B),_xlfn.XMATCH($B$2,'Talnagögn | Numerical Data'!$1:$1))-1</f>
        <v>-0.80713870963157675</v>
      </c>
      <c r="R365" s="474" cm="1">
        <f t="array" ref="R365">INDEX('Talnagögn | Numerical Data'!$1:$1048576,_xlfn.XMATCH($B365,'Talnagögn | Numerical Data'!$C:$C),_xlfn.XMATCH($B$5,'Talnagögn | Numerical Data'!$1:$1))-INDEX('Talnagögn | Numerical Data'!$1:$1048576,_xlfn.XMATCH($A365,'Talnagögn | Numerical Data'!$B:$B),_xlfn.XMATCH($B$1,'Talnagögn | Numerical Data'!$1:$1))</f>
        <v>-91.684707388415816</v>
      </c>
      <c r="S365" s="477" cm="1">
        <f t="array" ref="S365">INDEX('Talnagögn | Numerical Data'!$1:$1048576,_xlfn.XMATCH($B365,'Talnagögn | Numerical Data'!$C:$C),_xlfn.XMATCH($B$5,'Talnagögn | Numerical Data'!$1:$1))/INDEX('Talnagögn | Numerical Data'!$1:$1048576,_xlfn.XMATCH($A365,'Talnagögn | Numerical Data'!$B:$B),_xlfn.XMATCH($B$1,'Talnagögn | Numerical Data'!$1:$1))-1</f>
        <v>-0.85715513012070876</v>
      </c>
      <c r="T365" s="178"/>
      <c r="U365" s="178"/>
      <c r="V365" s="410"/>
      <c r="Y365" s="596" t="str">
        <f>'Talnagögn | Numerical Data'!$G$93</f>
        <v>Other Emissions</v>
      </c>
      <c r="Z365" s="474" cm="1">
        <f t="array" ref="Z365">INDEX('Talnagögn | Numerical Data'!$1:$1048576,_xlfn.XMATCH($A365,'Talnagögn | Numerical Data'!$B:$B),_xlfn.XMATCH($A$1,'Talnagögn | Numerical Data'!$1:$1))</f>
        <v>14.100085963613324</v>
      </c>
      <c r="AA365" s="475">
        <f>Z365/$F$366</f>
        <v>7.8577416298949553E-3</v>
      </c>
      <c r="AB365" s="912" cm="1">
        <f t="array" ref="AB365">INDEX('Talnagögn | Numerical Data'!$1:$1048576,_xlfn.XMATCH($A365,'Talnagögn | Numerical Data'!$B:$B),_xlfn.XMATCH($A$1,'Talnagögn | Numerical Data'!$1:$1))-INDEX('Talnagögn | Numerical Data'!$1:$1048576,_xlfn.XMATCH($A365,'Talnagögn | Numerical Data'!$B:$B),_xlfn.XMATCH($B$3,'Talnagögn | Numerical Data'!$1:$1))</f>
        <v>2.145556762395989</v>
      </c>
      <c r="AC365" s="476" cm="1">
        <f t="array" ref="AC365">INDEX('Talnagögn | Numerical Data'!$1:$1048576,_xlfn.XMATCH($A365,'Talnagögn | Numerical Data'!$B:$B),_xlfn.XMATCH($A$1,'Talnagögn | Numerical Data'!$1:$1))/INDEX('Talnagögn | Numerical Data'!$1:$1048576,_xlfn.XMATCH($A365,'Talnagögn | Numerical Data'!$B:$B),_xlfn.XMATCH($B$3,'Talnagögn | Numerical Data'!$1:$1))-1</f>
        <v>0.17947647509008613</v>
      </c>
      <c r="AD365" s="474" cm="1">
        <f t="array" ref="AD365">INDEX('Talnagögn | Numerical Data'!$1:$1048576,_xlfn.XMATCH($A365,'Talnagögn | Numerical Data'!$B:$B),_xlfn.XMATCH($A$1,'Talnagögn | Numerical Data'!$1:$1))-INDEX('Talnagögn | Numerical Data'!$1:$1048576,_xlfn.XMATCH($A365,'Talnagögn | Numerical Data'!$B:$B),_xlfn.XMATCH($B$2,'Talnagögn | Numerical Data'!$1:$1))</f>
        <v>-54.876182779772975</v>
      </c>
      <c r="AE365" s="476" cm="1">
        <f t="array" ref="AE365">INDEX('Talnagögn | Numerical Data'!$1:$1048576,_xlfn.XMATCH($A365,'Talnagögn | Numerical Data'!$B:$B),_xlfn.XMATCH($A$1,'Talnagögn | Numerical Data'!$1:$1))/INDEX('Talnagögn | Numerical Data'!$1:$1048576,_xlfn.XMATCH($A365,'Talnagögn | Numerical Data'!$B:$B),_xlfn.XMATCH($B$2,'Talnagögn | Numerical Data'!$1:$1))-1</f>
        <v>-0.79558062185024625</v>
      </c>
      <c r="AF365" s="474" cm="1">
        <f t="array" ref="AF365">INDEX('Talnagögn | Numerical Data'!$1:$1048576,_xlfn.XMATCH($A365,'Talnagögn | Numerical Data'!$B:$B),_xlfn.XMATCH($A$1,'Talnagögn | Numerical Data'!$1:$1))-INDEX('Talnagögn | Numerical Data'!$1:$1048576,_xlfn.XMATCH($A365,'Talnagögn | Numerical Data'!$B:$B),_xlfn.XMATCH($B$1,'Talnagögn | Numerical Data'!$1:$1))</f>
        <v>-92.863874428835516</v>
      </c>
      <c r="AG365" s="477" cm="1">
        <f t="array" ref="AG365">INDEX('Talnagögn | Numerical Data'!$1:$1048576,_xlfn.XMATCH($A365,'Talnagögn | Numerical Data'!$B:$B),_xlfn.XMATCH($A$1,'Talnagögn | Numerical Data'!$1:$1))/INDEX('Talnagögn | Numerical Data'!$1:$1048576,_xlfn.XMATCH($A365,'Talnagögn | Numerical Data'!$B:$B),_xlfn.XMATCH($B$1,'Talnagögn | Numerical Data'!$1:$1))-1</f>
        <v>-0.8681790959134239</v>
      </c>
      <c r="AI365" s="596" t="str">
        <f>'Talnagögn | Numerical Data'!$G$93</f>
        <v>Other Emissions</v>
      </c>
      <c r="AJ365" s="474" cm="1">
        <f t="array" ref="AJ365">INDEX('Talnagögn | Numerical Data'!$1:$1048576,_xlfn.XMATCH($B365,'Talnagögn | Numerical Data'!$C:$C),_xlfn.XMATCH($B$4,'Talnagögn | Numerical Data'!$1:$1))-INDEX('Talnagögn | Numerical Data'!$1:$1048576,_xlfn.XMATCH($A365,'Talnagögn | Numerical Data'!$B:$B),_xlfn.XMATCH($B$2,'Talnagögn | Numerical Data'!$1:$1))</f>
        <v>-55.673416548737677</v>
      </c>
      <c r="AK365" s="476" cm="1">
        <f t="array" ref="AK365">INDEX('Talnagögn | Numerical Data'!$1:$1048576,_xlfn.XMATCH($B365,'Talnagögn | Numerical Data'!$C:$C),_xlfn.XMATCH($B$4,'Talnagögn | Numerical Data'!$1:$1))/INDEX('Talnagögn | Numerical Data'!$1:$1048576,_xlfn.XMATCH($A365,'Talnagögn | Numerical Data'!$B:$B),_xlfn.XMATCH($B$2,'Talnagögn | Numerical Data'!$1:$1))-1</f>
        <v>-0.80713870963157675</v>
      </c>
      <c r="AL365" s="474" cm="1">
        <f t="array" ref="AL365">INDEX('Talnagögn | Numerical Data'!$1:$1048576,_xlfn.XMATCH($B365,'Talnagögn | Numerical Data'!$C:$C),_xlfn.XMATCH($B$5,'Talnagögn | Numerical Data'!$1:$1))-INDEX('Talnagögn | Numerical Data'!$1:$1048576,_xlfn.XMATCH($A365,'Talnagögn | Numerical Data'!$B:$B),_xlfn.XMATCH($B$1,'Talnagögn | Numerical Data'!$1:$1))</f>
        <v>-91.684707388415816</v>
      </c>
      <c r="AM365" s="477" cm="1">
        <f t="array" ref="AM365">INDEX('Talnagögn | Numerical Data'!$1:$1048576,_xlfn.XMATCH($B365,'Talnagögn | Numerical Data'!$C:$C),_xlfn.XMATCH($B$5,'Talnagögn | Numerical Data'!$1:$1))/INDEX('Talnagögn | Numerical Data'!$1:$1048576,_xlfn.XMATCH($A365,'Talnagögn | Numerical Data'!$B:$B),_xlfn.XMATCH($B$1,'Talnagögn | Numerical Data'!$1:$1))-1</f>
        <v>-0.85715513012070876</v>
      </c>
      <c r="AN365" s="178"/>
      <c r="AO365" s="178"/>
      <c r="AP365" s="178"/>
      <c r="AQ365" s="178"/>
      <c r="AR365" s="178"/>
      <c r="AS365" s="178"/>
    </row>
    <row r="366" spans="1:46" ht="30" customHeight="1" x14ac:dyDescent="0.4">
      <c r="A366" s="27" t="s">
        <v>39</v>
      </c>
      <c r="B366" s="27" t="s">
        <v>222</v>
      </c>
      <c r="C366" s="27" t="s">
        <v>229</v>
      </c>
      <c r="D366" s="131" t="s">
        <v>44</v>
      </c>
      <c r="E366" s="461" t="s">
        <v>12</v>
      </c>
      <c r="F366" s="462" cm="1">
        <f t="array" ref="F366">INDEX('Talnagögn | Numerical Data'!$1:$1048576,_xlfn.XMATCH($A366,'Talnagögn | Numerical Data'!$B:$B),_xlfn.XMATCH($A$1,'Talnagögn | Numerical Data'!$1:$1))</f>
        <v>1794.4196472392562</v>
      </c>
      <c r="G366" s="463">
        <f>F366/$F$366</f>
        <v>1</v>
      </c>
      <c r="H366" s="462" cm="1">
        <f t="array" ref="H366">INDEX('Talnagögn | Numerical Data'!$1:$1048576,_xlfn.XMATCH($A366,'Talnagögn | Numerical Data'!$B:$B),_xlfn.XMATCH($A$1,'Talnagögn | Numerical Data'!$1:$1))-INDEX('Talnagögn | Numerical Data'!$1:$1048576,_xlfn.XMATCH($A366,'Talnagögn | Numerical Data'!$B:$B),_xlfn.XMATCH($B$3,'Talnagögn | Numerical Data'!$1:$1))</f>
        <v>-213.05031758347627</v>
      </c>
      <c r="I366" s="463" cm="1">
        <f t="array" ref="I366">INDEX('Talnagögn | Numerical Data'!$1:$1048576,_xlfn.XMATCH($A366,'Talnagögn | Numerical Data'!$B:$B),_xlfn.XMATCH($A$1,'Talnagögn | Numerical Data'!$1:$1))/INDEX('Talnagögn | Numerical Data'!$1:$1048576,_xlfn.XMATCH($A366,'Talnagögn | Numerical Data'!$B:$B),_xlfn.XMATCH($B$3,'Talnagögn | Numerical Data'!$1:$1))-1</f>
        <v>-0.10612876970355545</v>
      </c>
      <c r="J366" s="464" cm="1">
        <f t="array" ref="J366">INDEX('Talnagögn | Numerical Data'!$1:$1048576,_xlfn.XMATCH($A366,'Talnagögn | Numerical Data'!$B:$B),_xlfn.XMATCH($A$1,'Talnagögn | Numerical Data'!$1:$1))-INDEX('Talnagögn | Numerical Data'!$1:$1048576,_xlfn.XMATCH($A366,'Talnagögn | Numerical Data'!$B:$B),_xlfn.XMATCH($B$2,'Talnagögn | Numerical Data'!$1:$1))</f>
        <v>843.51731937973761</v>
      </c>
      <c r="K366" s="463" cm="1">
        <f t="array" ref="K366">INDEX('Talnagögn | Numerical Data'!$1:$1048576,_xlfn.XMATCH($A366,'Talnagögn | Numerical Data'!$B:$B),_xlfn.XMATCH($A$1,'Talnagögn | Numerical Data'!$1:$1))/INDEX('Talnagögn | Numerical Data'!$1:$1048576,_xlfn.XMATCH($A366,'Talnagögn | Numerical Data'!$B:$B),_xlfn.XMATCH($B$2,'Talnagögn | Numerical Data'!$1:$1))-1</f>
        <v>0.887070411614719</v>
      </c>
      <c r="L366" s="462" cm="1">
        <f t="array" ref="L366">INDEX('Talnagögn | Numerical Data'!$1:$1048576,_xlfn.XMATCH($A366,'Talnagögn | Numerical Data'!$B:$B),_xlfn.XMATCH($A$1,'Talnagögn | Numerical Data'!$1:$1))-INDEX('Talnagögn | Numerical Data'!$1:$1048576,_xlfn.XMATCH($A366,'Talnagögn | Numerical Data'!$B:$B),_xlfn.XMATCH($B$1,'Talnagögn | Numerical Data'!$1:$1))</f>
        <v>892.2450581321142</v>
      </c>
      <c r="M366" s="465" cm="1">
        <f t="array" ref="M366">INDEX('Talnagögn | Numerical Data'!$1:$1048576,_xlfn.XMATCH($A366,'Talnagögn | Numerical Data'!$B:$B),_xlfn.XMATCH($A$1,'Talnagögn | Numerical Data'!$1:$1))/INDEX('Talnagögn | Numerical Data'!$1:$1048576,_xlfn.XMATCH($A366,'Talnagögn | Numerical Data'!$B:$B),_xlfn.XMATCH($B$1,'Talnagögn | Numerical Data'!$1:$1))-1</f>
        <v>0.98899378114289971</v>
      </c>
      <c r="O366" s="461" t="s">
        <v>12</v>
      </c>
      <c r="P366" s="462" cm="1">
        <f t="array" ref="P366">INDEX('Talnagögn | Numerical Data'!$1:$1048576,_xlfn.XMATCH($B366,'Talnagögn | Numerical Data'!$C:$C),_xlfn.XMATCH($B$4,'Talnagögn | Numerical Data'!$1:$1))-INDEX('Talnagögn | Numerical Data'!$1:$1048576,_xlfn.XMATCH($A366,'Talnagögn | Numerical Data'!$B:$B),_xlfn.XMATCH($B$2,'Talnagögn | Numerical Data'!$1:$1))</f>
        <v>1018.8195136841188</v>
      </c>
      <c r="Q366" s="463" cm="1">
        <f t="array" ref="Q366">INDEX('Talnagögn | Numerical Data'!$1:$1048576,_xlfn.XMATCH($B366,'Talnagögn | Numerical Data'!$C:$C),_xlfn.XMATCH($B$4,'Talnagögn | Numerical Data'!$1:$1))/INDEX('Talnagögn | Numerical Data'!$1:$1048576,_xlfn.XMATCH($A366,'Talnagögn | Numerical Data'!$B:$B),_xlfn.XMATCH($B$2,'Talnagögn | Numerical Data'!$1:$1))-1</f>
        <v>1.0714239347562455</v>
      </c>
      <c r="R366" s="462" cm="1">
        <f t="array" ref="R366">INDEX('Talnagögn | Numerical Data'!$1:$1048576,_xlfn.XMATCH($B366,'Talnagögn | Numerical Data'!$C:$C),_xlfn.XMATCH($B$5,'Talnagögn | Numerical Data'!$1:$1))-INDEX('Talnagögn | Numerical Data'!$1:$1048576,_xlfn.XMATCH($A366,'Talnagögn | Numerical Data'!$B:$B),_xlfn.XMATCH($B$1,'Talnagögn | Numerical Data'!$1:$1))</f>
        <v>1050.2147585854218</v>
      </c>
      <c r="S366" s="465" cm="1">
        <f t="array" ref="S366">INDEX('Talnagögn | Numerical Data'!$1:$1048576,_xlfn.XMATCH($B366,'Talnagögn | Numerical Data'!$C:$C),_xlfn.XMATCH($B$5,'Talnagögn | Numerical Data'!$1:$1))/INDEX('Talnagögn | Numerical Data'!$1:$1048576,_xlfn.XMATCH($A366,'Talnagögn | Numerical Data'!$B:$B),_xlfn.XMATCH($B$1,'Talnagögn | Numerical Data'!$1:$1))-1</f>
        <v>1.1640925950095662</v>
      </c>
      <c r="T366" s="178"/>
      <c r="U366" s="178"/>
      <c r="V366" s="162"/>
      <c r="Y366" s="461" t="s">
        <v>145</v>
      </c>
      <c r="Z366" s="462" cm="1">
        <f t="array" ref="Z366">INDEX('Talnagögn | Numerical Data'!$1:$1048576,_xlfn.XMATCH($A366,'Talnagögn | Numerical Data'!$B:$B),_xlfn.XMATCH($A$1,'Talnagögn | Numerical Data'!$1:$1))</f>
        <v>1794.4196472392562</v>
      </c>
      <c r="AA366" s="463">
        <f>Z366/$F$366</f>
        <v>1</v>
      </c>
      <c r="AB366" s="462" cm="1">
        <f t="array" ref="AB366">INDEX('Talnagögn | Numerical Data'!$1:$1048576,_xlfn.XMATCH($A366,'Talnagögn | Numerical Data'!$B:$B),_xlfn.XMATCH($A$1,'Talnagögn | Numerical Data'!$1:$1))-INDEX('Talnagögn | Numerical Data'!$1:$1048576,_xlfn.XMATCH($A366,'Talnagögn | Numerical Data'!$B:$B),_xlfn.XMATCH($B$3,'Talnagögn | Numerical Data'!$1:$1))</f>
        <v>-213.05031758347627</v>
      </c>
      <c r="AC366" s="463" cm="1">
        <f t="array" ref="AC366">INDEX('Talnagögn | Numerical Data'!$1:$1048576,_xlfn.XMATCH($A366,'Talnagögn | Numerical Data'!$B:$B),_xlfn.XMATCH($A$1,'Talnagögn | Numerical Data'!$1:$1))/INDEX('Talnagögn | Numerical Data'!$1:$1048576,_xlfn.XMATCH($A366,'Talnagögn | Numerical Data'!$B:$B),_xlfn.XMATCH($B$3,'Talnagögn | Numerical Data'!$1:$1))-1</f>
        <v>-0.10612876970355545</v>
      </c>
      <c r="AD366" s="464" cm="1">
        <f t="array" ref="AD366">INDEX('Talnagögn | Numerical Data'!$1:$1048576,_xlfn.XMATCH($A366,'Talnagögn | Numerical Data'!$B:$B),_xlfn.XMATCH($A$1,'Talnagögn | Numerical Data'!$1:$1))-INDEX('Talnagögn | Numerical Data'!$1:$1048576,_xlfn.XMATCH($A366,'Talnagögn | Numerical Data'!$B:$B),_xlfn.XMATCH($B$2,'Talnagögn | Numerical Data'!$1:$1))</f>
        <v>843.51731937973761</v>
      </c>
      <c r="AE366" s="463" cm="1">
        <f t="array" ref="AE366">INDEX('Talnagögn | Numerical Data'!$1:$1048576,_xlfn.XMATCH($A366,'Talnagögn | Numerical Data'!$B:$B),_xlfn.XMATCH($A$1,'Talnagögn | Numerical Data'!$1:$1))/INDEX('Talnagögn | Numerical Data'!$1:$1048576,_xlfn.XMATCH($A366,'Talnagögn | Numerical Data'!$B:$B),_xlfn.XMATCH($B$2,'Talnagögn | Numerical Data'!$1:$1))-1</f>
        <v>0.887070411614719</v>
      </c>
      <c r="AF366" s="462" cm="1">
        <f t="array" ref="AF366">INDEX('Talnagögn | Numerical Data'!$1:$1048576,_xlfn.XMATCH($A366,'Talnagögn | Numerical Data'!$B:$B),_xlfn.XMATCH($A$1,'Talnagögn | Numerical Data'!$1:$1))-INDEX('Talnagögn | Numerical Data'!$1:$1048576,_xlfn.XMATCH($A366,'Talnagögn | Numerical Data'!$B:$B),_xlfn.XMATCH($B$1,'Talnagögn | Numerical Data'!$1:$1))</f>
        <v>892.2450581321142</v>
      </c>
      <c r="AG366" s="465" cm="1">
        <f t="array" ref="AG366">INDEX('Talnagögn | Numerical Data'!$1:$1048576,_xlfn.XMATCH($A366,'Talnagögn | Numerical Data'!$B:$B),_xlfn.XMATCH($A$1,'Talnagögn | Numerical Data'!$1:$1))/INDEX('Talnagögn | Numerical Data'!$1:$1048576,_xlfn.XMATCH($A366,'Talnagögn | Numerical Data'!$B:$B),_xlfn.XMATCH($B$1,'Talnagögn | Numerical Data'!$1:$1))-1</f>
        <v>0.98899378114289971</v>
      </c>
      <c r="AI366" s="461" t="s">
        <v>12</v>
      </c>
      <c r="AJ366" s="462" cm="1">
        <f t="array" ref="AJ366">INDEX('Talnagögn | Numerical Data'!$1:$1048576,_xlfn.XMATCH($B366,'Talnagögn | Numerical Data'!$C:$C),_xlfn.XMATCH($B$4,'Talnagögn | Numerical Data'!$1:$1))-INDEX('Talnagögn | Numerical Data'!$1:$1048576,_xlfn.XMATCH($A366,'Talnagögn | Numerical Data'!$B:$B),_xlfn.XMATCH($B$2,'Talnagögn | Numerical Data'!$1:$1))</f>
        <v>1018.8195136841188</v>
      </c>
      <c r="AK366" s="463" cm="1">
        <f t="array" ref="AK366">INDEX('Talnagögn | Numerical Data'!$1:$1048576,_xlfn.XMATCH($B366,'Talnagögn | Numerical Data'!$C:$C),_xlfn.XMATCH($B$4,'Talnagögn | Numerical Data'!$1:$1))/INDEX('Talnagögn | Numerical Data'!$1:$1048576,_xlfn.XMATCH($A366,'Talnagögn | Numerical Data'!$B:$B),_xlfn.XMATCH($B$2,'Talnagögn | Numerical Data'!$1:$1))-1</f>
        <v>1.0714239347562455</v>
      </c>
      <c r="AL366" s="462" cm="1">
        <f t="array" ref="AL366">INDEX('Talnagögn | Numerical Data'!$1:$1048576,_xlfn.XMATCH($B366,'Talnagögn | Numerical Data'!$C:$C),_xlfn.XMATCH($B$5,'Talnagögn | Numerical Data'!$1:$1))-INDEX('Talnagögn | Numerical Data'!$1:$1048576,_xlfn.XMATCH($A366,'Talnagögn | Numerical Data'!$B:$B),_xlfn.XMATCH($B$1,'Talnagögn | Numerical Data'!$1:$1))</f>
        <v>1050.2147585854218</v>
      </c>
      <c r="AM366" s="465" cm="1">
        <f t="array" ref="AM366">INDEX('Talnagögn | Numerical Data'!$1:$1048576,_xlfn.XMATCH($B366,'Talnagögn | Numerical Data'!$C:$C),_xlfn.XMATCH($B$5,'Talnagögn | Numerical Data'!$1:$1))/INDEX('Talnagögn | Numerical Data'!$1:$1048576,_xlfn.XMATCH($A366,'Talnagögn | Numerical Data'!$B:$B),_xlfn.XMATCH($B$1,'Talnagögn | Numerical Data'!$1:$1))-1</f>
        <v>1.1640925950095662</v>
      </c>
      <c r="AN366" s="178"/>
      <c r="AO366" s="178"/>
      <c r="AP366" s="178"/>
      <c r="AQ366" s="178"/>
      <c r="AR366" s="178"/>
      <c r="AS366" s="178"/>
    </row>
    <row r="367" spans="1:46" s="21" customFormat="1" x14ac:dyDescent="0.4">
      <c r="A367" s="632" t="str">
        <f>"IÐNAÐUR OG VÖRUNOTKUN "&amp;$A$1</f>
        <v>IÐNAÐUR OG VÖRUNOTKUN 2025</v>
      </c>
      <c r="B367" s="632" t="str">
        <f>"INDUSTRY AND PRODUCT USE "&amp;$A$1</f>
        <v>INDUSTRY AND PRODUCT USE 2025</v>
      </c>
      <c r="C367" s="645" t="s">
        <v>44</v>
      </c>
      <c r="D367" s="131" t="s">
        <v>44</v>
      </c>
      <c r="F367" s="178"/>
      <c r="G367" s="178"/>
      <c r="H367" s="127"/>
      <c r="I367" s="178"/>
      <c r="J367" s="178"/>
      <c r="K367" s="178"/>
      <c r="L367" s="178"/>
      <c r="M367" s="178"/>
      <c r="N367" s="178"/>
      <c r="O367" s="178"/>
      <c r="P367" s="178"/>
      <c r="Q367" s="178"/>
      <c r="R367" s="178"/>
      <c r="S367" s="178"/>
      <c r="T367" s="178"/>
      <c r="U367" s="178"/>
      <c r="V367" s="410"/>
      <c r="Z367" s="178"/>
      <c r="AA367" s="178"/>
      <c r="AB367" s="178"/>
      <c r="AC367" s="178"/>
      <c r="AD367" s="178"/>
      <c r="AE367" s="178"/>
      <c r="AG367" s="178"/>
      <c r="AH367" s="178"/>
      <c r="AI367" s="178"/>
      <c r="AJ367" s="178"/>
      <c r="AK367" s="178"/>
      <c r="AL367" s="178"/>
      <c r="AM367" s="178"/>
      <c r="AN367" s="178"/>
      <c r="AO367" s="178"/>
      <c r="AP367" s="178"/>
      <c r="AQ367" s="178"/>
      <c r="AR367" s="178"/>
      <c r="AS367" s="178"/>
    </row>
    <row r="368" spans="1:46" s="21" customFormat="1" x14ac:dyDescent="0.4">
      <c r="A368" s="27"/>
      <c r="B368" s="645" t="s">
        <v>44</v>
      </c>
      <c r="C368" s="645"/>
      <c r="D368" s="131" t="s">
        <v>44</v>
      </c>
      <c r="F368" s="178"/>
      <c r="G368" s="178"/>
      <c r="H368" s="127"/>
      <c r="I368" s="178"/>
      <c r="J368" s="178"/>
      <c r="K368" s="178"/>
      <c r="L368" s="178"/>
      <c r="M368" s="178"/>
      <c r="N368" s="178"/>
      <c r="O368" s="178"/>
      <c r="P368" s="178"/>
      <c r="Q368" s="178"/>
      <c r="R368" s="178"/>
      <c r="S368" s="178"/>
      <c r="T368" s="178"/>
      <c r="U368" s="178"/>
      <c r="V368" s="410"/>
      <c r="Z368" s="178"/>
      <c r="AA368" s="178"/>
      <c r="AB368" s="178"/>
      <c r="AC368" s="178"/>
      <c r="AD368" s="178"/>
      <c r="AE368" s="178"/>
      <c r="AF368" s="178"/>
      <c r="AG368" s="178"/>
      <c r="AH368" s="178"/>
      <c r="AI368" s="178"/>
      <c r="AJ368" s="178"/>
      <c r="AK368" s="178"/>
      <c r="AL368" s="178"/>
      <c r="AM368" s="178"/>
      <c r="AN368" s="178"/>
      <c r="AO368" s="178"/>
      <c r="AP368" s="178"/>
      <c r="AQ368" s="178"/>
      <c r="AR368" s="178"/>
      <c r="AS368" s="178"/>
    </row>
    <row r="369" spans="1:45" s="21" customFormat="1" x14ac:dyDescent="0.4">
      <c r="A369" s="27"/>
      <c r="B369" s="645"/>
      <c r="C369" s="645"/>
      <c r="D369" s="131" t="s">
        <v>44</v>
      </c>
      <c r="F369" s="178"/>
      <c r="G369" s="178"/>
      <c r="H369" s="127"/>
      <c r="I369" s="178"/>
      <c r="J369" s="178"/>
      <c r="K369" s="178"/>
      <c r="L369" s="178"/>
      <c r="M369" s="178"/>
      <c r="N369" s="178"/>
      <c r="O369" s="178"/>
      <c r="P369" s="178"/>
      <c r="Q369" s="178"/>
      <c r="R369" s="178"/>
      <c r="S369" s="178"/>
      <c r="T369" s="178"/>
      <c r="U369" s="178"/>
      <c r="V369" s="410"/>
      <c r="Z369" s="178"/>
      <c r="AA369" s="178"/>
      <c r="AB369" s="178"/>
      <c r="AC369" s="178"/>
      <c r="AD369" s="178"/>
      <c r="AE369" s="178"/>
      <c r="AF369" s="178"/>
      <c r="AG369" s="178"/>
      <c r="AH369" s="178"/>
      <c r="AI369" s="178"/>
      <c r="AJ369" s="178"/>
      <c r="AK369" s="178"/>
      <c r="AL369" s="178"/>
      <c r="AM369" s="178"/>
      <c r="AN369" s="178"/>
      <c r="AO369" s="178"/>
      <c r="AP369" s="178"/>
      <c r="AQ369" s="178"/>
      <c r="AR369" s="178"/>
      <c r="AS369" s="178"/>
    </row>
    <row r="370" spans="1:45" s="21" customFormat="1" x14ac:dyDescent="0.4">
      <c r="A370" s="27"/>
      <c r="B370" s="645"/>
      <c r="C370" s="645"/>
      <c r="D370" s="131" t="s">
        <v>44</v>
      </c>
      <c r="F370" s="178"/>
      <c r="G370" s="178"/>
      <c r="H370" s="127"/>
      <c r="I370" s="178"/>
      <c r="J370" s="178"/>
      <c r="K370" s="178"/>
      <c r="L370" s="178"/>
      <c r="M370" s="178"/>
      <c r="N370" s="178"/>
      <c r="O370" s="178"/>
      <c r="P370" s="178"/>
      <c r="Q370" s="178"/>
      <c r="R370" s="178"/>
      <c r="S370" s="178"/>
      <c r="T370" s="178"/>
      <c r="U370" s="178"/>
      <c r="V370" s="410"/>
      <c r="Z370" s="178"/>
      <c r="AA370" s="178"/>
      <c r="AB370" s="178"/>
      <c r="AC370" s="178"/>
      <c r="AD370" s="178"/>
      <c r="AE370" s="178"/>
      <c r="AF370" s="178"/>
      <c r="AG370" s="178"/>
      <c r="AH370" s="178"/>
      <c r="AI370" s="178"/>
      <c r="AJ370" s="178"/>
      <c r="AK370" s="178"/>
      <c r="AL370" s="178"/>
      <c r="AM370" s="178"/>
      <c r="AN370" s="178"/>
      <c r="AO370" s="178"/>
      <c r="AP370" s="178"/>
      <c r="AQ370" s="178"/>
      <c r="AR370" s="178"/>
      <c r="AS370" s="178"/>
    </row>
    <row r="371" spans="1:45" s="21" customFormat="1" x14ac:dyDescent="0.4">
      <c r="A371" s="27"/>
      <c r="B371" s="645"/>
      <c r="C371" s="645"/>
      <c r="D371" s="131" t="s">
        <v>44</v>
      </c>
      <c r="F371" s="178"/>
      <c r="G371" s="178"/>
      <c r="H371" s="127"/>
      <c r="I371" s="178"/>
      <c r="J371" s="178"/>
      <c r="K371" s="178"/>
      <c r="L371" s="178"/>
      <c r="M371" s="178"/>
      <c r="N371" s="178"/>
      <c r="O371" s="178"/>
      <c r="P371" s="178"/>
      <c r="Q371" s="178"/>
      <c r="R371" s="178"/>
      <c r="S371" s="178"/>
      <c r="T371" s="178"/>
      <c r="U371" s="178"/>
      <c r="V371" s="410"/>
      <c r="Z371" s="178"/>
      <c r="AA371" s="178"/>
      <c r="AB371" s="178"/>
      <c r="AC371" s="178"/>
      <c r="AD371" s="178"/>
      <c r="AE371" s="178"/>
      <c r="AF371" s="178"/>
      <c r="AG371" s="178"/>
      <c r="AH371" s="178"/>
      <c r="AI371" s="178"/>
      <c r="AJ371" s="178"/>
      <c r="AK371" s="178"/>
      <c r="AL371" s="178"/>
      <c r="AM371" s="178"/>
      <c r="AN371" s="178"/>
      <c r="AO371" s="178"/>
      <c r="AP371" s="178"/>
      <c r="AQ371" s="178"/>
      <c r="AR371" s="178"/>
      <c r="AS371" s="178"/>
    </row>
    <row r="372" spans="1:45" s="21" customFormat="1" x14ac:dyDescent="0.4">
      <c r="A372" s="27"/>
      <c r="B372" s="645"/>
      <c r="C372" s="645"/>
      <c r="D372" s="131" t="s">
        <v>44</v>
      </c>
      <c r="F372" s="178"/>
      <c r="G372" s="178"/>
      <c r="H372" s="127"/>
      <c r="I372" s="178"/>
      <c r="J372" s="178"/>
      <c r="K372" s="178"/>
      <c r="L372" s="178"/>
      <c r="M372" s="178"/>
      <c r="N372" s="178"/>
      <c r="O372" s="178"/>
      <c r="P372" s="178"/>
      <c r="Q372" s="178"/>
      <c r="R372" s="178"/>
      <c r="S372" s="178"/>
      <c r="T372" s="178"/>
      <c r="U372" s="178"/>
      <c r="V372" s="410"/>
      <c r="Z372" s="178"/>
      <c r="AA372" s="178"/>
      <c r="AB372" s="178"/>
      <c r="AC372" s="178"/>
      <c r="AD372" s="178"/>
      <c r="AE372" s="178"/>
      <c r="AF372" s="178"/>
      <c r="AG372" s="178"/>
      <c r="AH372" s="178"/>
      <c r="AI372" s="178"/>
      <c r="AJ372" s="178"/>
      <c r="AK372" s="178"/>
      <c r="AL372" s="178"/>
      <c r="AM372" s="178"/>
      <c r="AN372" s="178"/>
      <c r="AO372" s="178"/>
      <c r="AP372" s="178"/>
      <c r="AQ372" s="178"/>
      <c r="AR372" s="178"/>
      <c r="AS372" s="178"/>
    </row>
    <row r="373" spans="1:45" s="21" customFormat="1" x14ac:dyDescent="0.4">
      <c r="A373" s="27"/>
      <c r="B373" s="645"/>
      <c r="C373" s="645"/>
      <c r="D373" s="131" t="s">
        <v>44</v>
      </c>
      <c r="F373" s="178"/>
      <c r="G373" s="178"/>
      <c r="H373" s="127"/>
      <c r="I373" s="178"/>
      <c r="J373" s="178"/>
      <c r="K373" s="178"/>
      <c r="L373" s="178"/>
      <c r="M373" s="178"/>
      <c r="N373" s="178"/>
      <c r="O373" s="178"/>
      <c r="P373" s="178"/>
      <c r="Q373" s="178"/>
      <c r="R373" s="178"/>
      <c r="S373" s="178"/>
      <c r="T373" s="178"/>
      <c r="U373" s="178"/>
      <c r="V373" s="410"/>
      <c r="Z373" s="178"/>
      <c r="AA373" s="178"/>
      <c r="AB373" s="178"/>
      <c r="AC373" s="178"/>
      <c r="AD373" s="178"/>
      <c r="AE373" s="178"/>
      <c r="AF373" s="178"/>
      <c r="AG373" s="178"/>
      <c r="AH373" s="178"/>
      <c r="AI373" s="178"/>
      <c r="AJ373" s="178"/>
      <c r="AK373" s="178"/>
      <c r="AL373" s="178"/>
      <c r="AM373" s="178"/>
      <c r="AN373" s="178"/>
      <c r="AO373" s="178"/>
      <c r="AP373" s="178"/>
      <c r="AQ373" s="178"/>
      <c r="AR373" s="178"/>
      <c r="AS373" s="178"/>
    </row>
    <row r="374" spans="1:45" s="21" customFormat="1" x14ac:dyDescent="0.4">
      <c r="A374" s="27"/>
      <c r="B374" s="645"/>
      <c r="C374" s="645"/>
      <c r="D374" s="131" t="s">
        <v>44</v>
      </c>
      <c r="F374" s="178"/>
      <c r="G374" s="178"/>
      <c r="H374" s="127"/>
      <c r="I374" s="178"/>
      <c r="J374" s="178"/>
      <c r="K374" s="178"/>
      <c r="L374" s="178"/>
      <c r="M374" s="178"/>
      <c r="N374" s="178"/>
      <c r="O374" s="178"/>
      <c r="P374" s="178"/>
      <c r="Q374" s="178"/>
      <c r="R374" s="178"/>
      <c r="S374" s="178"/>
      <c r="T374" s="178"/>
      <c r="U374" s="178"/>
      <c r="V374" s="410"/>
      <c r="Z374" s="178"/>
      <c r="AA374" s="178"/>
      <c r="AB374" s="178"/>
      <c r="AC374" s="178"/>
      <c r="AD374" s="178"/>
      <c r="AE374" s="178"/>
      <c r="AF374" s="178"/>
      <c r="AG374" s="178"/>
      <c r="AH374" s="178"/>
      <c r="AI374" s="178"/>
      <c r="AJ374" s="178"/>
      <c r="AK374" s="178"/>
      <c r="AL374" s="178"/>
      <c r="AM374" s="178"/>
      <c r="AN374" s="178"/>
      <c r="AO374" s="178"/>
      <c r="AP374" s="178"/>
      <c r="AQ374" s="178"/>
      <c r="AR374" s="178"/>
      <c r="AS374" s="178"/>
    </row>
    <row r="375" spans="1:45" s="21" customFormat="1" x14ac:dyDescent="0.4">
      <c r="A375" s="27"/>
      <c r="B375" s="645"/>
      <c r="C375" s="645"/>
      <c r="D375" s="131" t="s">
        <v>44</v>
      </c>
      <c r="F375" s="178"/>
      <c r="G375" s="178"/>
      <c r="H375" s="127"/>
      <c r="I375" s="178"/>
      <c r="J375" s="178"/>
      <c r="K375" s="178"/>
      <c r="L375" s="178"/>
      <c r="M375" s="178"/>
      <c r="N375" s="178"/>
      <c r="O375" s="178"/>
      <c r="P375" s="178"/>
      <c r="Q375" s="178"/>
      <c r="R375" s="178"/>
      <c r="S375" s="178"/>
      <c r="T375" s="178"/>
      <c r="U375" s="178"/>
      <c r="V375" s="410"/>
      <c r="Z375" s="178"/>
      <c r="AA375" s="178"/>
      <c r="AB375" s="178"/>
      <c r="AC375" s="178"/>
      <c r="AD375" s="178"/>
      <c r="AE375" s="178"/>
      <c r="AF375" s="178"/>
      <c r="AG375" s="178"/>
      <c r="AH375" s="178"/>
      <c r="AI375" s="178"/>
      <c r="AJ375" s="178"/>
      <c r="AK375" s="178"/>
      <c r="AL375" s="178"/>
      <c r="AM375" s="178"/>
      <c r="AN375" s="178"/>
      <c r="AO375" s="178"/>
      <c r="AP375" s="178"/>
      <c r="AQ375" s="178"/>
      <c r="AR375" s="178"/>
      <c r="AS375" s="178"/>
    </row>
    <row r="376" spans="1:45" s="21" customFormat="1" x14ac:dyDescent="0.4">
      <c r="A376" s="27"/>
      <c r="B376" s="645"/>
      <c r="C376" s="645"/>
      <c r="D376" s="131" t="s">
        <v>44</v>
      </c>
      <c r="F376" s="178"/>
      <c r="G376" s="178"/>
      <c r="H376" s="127"/>
      <c r="I376" s="178"/>
      <c r="J376" s="178"/>
      <c r="K376" s="178"/>
      <c r="L376" s="178"/>
      <c r="M376" s="178"/>
      <c r="N376" s="178"/>
      <c r="O376" s="178"/>
      <c r="P376" s="178"/>
      <c r="Q376" s="178"/>
      <c r="R376" s="178"/>
      <c r="S376" s="178"/>
      <c r="T376" s="178"/>
      <c r="U376" s="178"/>
      <c r="V376" s="410"/>
      <c r="Z376" s="178"/>
      <c r="AA376" s="178"/>
      <c r="AB376" s="178"/>
      <c r="AC376" s="178"/>
      <c r="AD376" s="178"/>
      <c r="AE376" s="178"/>
      <c r="AF376" s="178"/>
      <c r="AG376" s="178"/>
      <c r="AH376" s="178"/>
      <c r="AI376" s="178"/>
      <c r="AJ376" s="178"/>
      <c r="AK376" s="178"/>
      <c r="AL376" s="178"/>
      <c r="AM376" s="178"/>
      <c r="AN376" s="178"/>
      <c r="AO376" s="178"/>
      <c r="AP376" s="178"/>
      <c r="AQ376" s="178"/>
      <c r="AR376" s="178"/>
      <c r="AS376" s="178"/>
    </row>
    <row r="377" spans="1:45" s="21" customFormat="1" ht="15" customHeight="1" x14ac:dyDescent="0.4">
      <c r="A377" s="27"/>
      <c r="B377" s="645"/>
      <c r="C377" s="645"/>
      <c r="D377" s="131" t="s">
        <v>44</v>
      </c>
      <c r="F377" s="178"/>
      <c r="G377" s="178"/>
      <c r="H377" s="127"/>
      <c r="I377" s="178"/>
      <c r="J377" s="178"/>
      <c r="K377" s="178"/>
      <c r="L377" s="178"/>
      <c r="M377" s="178"/>
      <c r="N377" s="178"/>
      <c r="O377" s="178"/>
      <c r="P377" s="178"/>
      <c r="Q377" s="178"/>
      <c r="R377" s="178"/>
      <c r="S377" s="178"/>
      <c r="T377" s="178"/>
      <c r="U377" s="178"/>
      <c r="V377" s="410"/>
      <c r="Z377" s="178"/>
      <c r="AA377" s="178"/>
      <c r="AB377" s="178"/>
      <c r="AC377" s="178"/>
      <c r="AD377" s="178"/>
      <c r="AE377" s="178"/>
      <c r="AF377" s="178"/>
      <c r="AG377" s="178"/>
      <c r="AH377" s="178"/>
      <c r="AI377" s="178"/>
      <c r="AJ377" s="178"/>
      <c r="AK377" s="178"/>
      <c r="AL377" s="178"/>
      <c r="AM377" s="178"/>
      <c r="AN377" s="178"/>
      <c r="AO377" s="178"/>
      <c r="AP377" s="178"/>
      <c r="AQ377" s="178"/>
      <c r="AR377" s="178"/>
      <c r="AS377" s="178"/>
    </row>
    <row r="378" spans="1:45" s="21" customFormat="1" ht="15" customHeight="1" x14ac:dyDescent="0.4">
      <c r="A378" s="27"/>
      <c r="B378" s="645"/>
      <c r="C378" s="645"/>
      <c r="D378" s="131" t="s">
        <v>44</v>
      </c>
      <c r="F378" s="178"/>
      <c r="G378" s="178"/>
      <c r="H378" s="127"/>
      <c r="I378" s="178"/>
      <c r="J378" s="178"/>
      <c r="K378" s="178"/>
      <c r="L378" s="178"/>
      <c r="M378" s="178"/>
      <c r="N378" s="178"/>
      <c r="O378" s="178"/>
      <c r="P378" s="178"/>
      <c r="Q378" s="178"/>
      <c r="R378" s="178"/>
      <c r="S378" s="178"/>
      <c r="T378" s="178"/>
      <c r="U378" s="178"/>
      <c r="V378" s="410"/>
      <c r="Z378" s="178"/>
      <c r="AA378" s="178"/>
      <c r="AB378" s="178"/>
      <c r="AC378" s="178"/>
      <c r="AD378" s="178"/>
      <c r="AE378" s="178"/>
      <c r="AF378" s="178"/>
      <c r="AG378" s="178"/>
      <c r="AH378" s="178"/>
      <c r="AI378" s="178"/>
      <c r="AJ378" s="178"/>
      <c r="AK378" s="178"/>
      <c r="AL378" s="178"/>
      <c r="AM378" s="178"/>
      <c r="AN378" s="178"/>
      <c r="AO378" s="178"/>
      <c r="AP378" s="178"/>
      <c r="AQ378" s="178"/>
      <c r="AR378" s="178"/>
      <c r="AS378" s="178"/>
    </row>
    <row r="379" spans="1:45" s="21" customFormat="1" ht="15" customHeight="1" x14ac:dyDescent="0.4">
      <c r="A379" s="27"/>
      <c r="B379" s="645"/>
      <c r="C379" s="645"/>
      <c r="D379" s="131" t="s">
        <v>44</v>
      </c>
      <c r="F379" s="178"/>
      <c r="G379" s="178"/>
      <c r="H379" s="127"/>
      <c r="I379" s="178"/>
      <c r="J379" s="178"/>
      <c r="K379" s="178"/>
      <c r="L379" s="178"/>
      <c r="M379" s="178"/>
      <c r="N379" s="178"/>
      <c r="O379" s="178"/>
      <c r="P379" s="178"/>
      <c r="Q379" s="178"/>
      <c r="R379" s="178"/>
      <c r="S379" s="178"/>
      <c r="T379" s="178"/>
      <c r="U379" s="178"/>
      <c r="V379" s="410"/>
      <c r="Z379" s="178"/>
      <c r="AA379" s="178"/>
      <c r="AB379" s="178"/>
      <c r="AC379" s="178"/>
      <c r="AD379" s="178"/>
      <c r="AE379" s="178"/>
      <c r="AF379" s="178"/>
      <c r="AG379" s="178"/>
      <c r="AH379" s="178"/>
      <c r="AI379" s="178"/>
      <c r="AJ379" s="178"/>
      <c r="AK379" s="178"/>
      <c r="AL379" s="178"/>
      <c r="AM379" s="178"/>
      <c r="AN379" s="178"/>
      <c r="AO379" s="178"/>
      <c r="AP379" s="178"/>
      <c r="AQ379" s="178"/>
      <c r="AR379" s="178"/>
      <c r="AS379" s="178"/>
    </row>
    <row r="380" spans="1:45" s="21" customFormat="1" x14ac:dyDescent="0.4">
      <c r="A380" s="27"/>
      <c r="B380" s="645"/>
      <c r="C380" s="645"/>
      <c r="D380" s="131" t="s">
        <v>44</v>
      </c>
      <c r="F380" s="178"/>
      <c r="G380" s="178"/>
      <c r="H380" s="127"/>
      <c r="I380" s="178"/>
      <c r="J380" s="178"/>
      <c r="K380" s="178"/>
      <c r="L380" s="178"/>
      <c r="M380" s="178"/>
      <c r="N380" s="178"/>
      <c r="O380" s="178"/>
      <c r="P380" s="178"/>
      <c r="Q380" s="178"/>
      <c r="R380" s="178"/>
      <c r="S380" s="178"/>
      <c r="T380" s="178"/>
      <c r="U380" s="178"/>
      <c r="V380" s="410"/>
      <c r="Z380" s="178"/>
      <c r="AA380" s="178"/>
      <c r="AB380" s="178"/>
      <c r="AC380" s="178"/>
      <c r="AD380" s="178"/>
      <c r="AE380" s="178"/>
      <c r="AF380" s="178"/>
      <c r="AG380" s="178"/>
      <c r="AH380" s="178"/>
      <c r="AI380" s="178"/>
      <c r="AJ380" s="178"/>
      <c r="AK380" s="178"/>
      <c r="AL380" s="178"/>
      <c r="AM380" s="178"/>
      <c r="AN380" s="178"/>
      <c r="AO380" s="178"/>
      <c r="AP380" s="178"/>
      <c r="AQ380" s="178"/>
      <c r="AR380" s="178"/>
      <c r="AS380" s="178"/>
    </row>
    <row r="381" spans="1:45" s="21" customFormat="1" x14ac:dyDescent="0.4">
      <c r="A381" s="27"/>
      <c r="B381" s="645"/>
      <c r="C381" s="645"/>
      <c r="D381" s="131" t="s">
        <v>44</v>
      </c>
      <c r="F381" s="178"/>
      <c r="G381" s="178"/>
      <c r="H381" s="127"/>
      <c r="I381" s="178"/>
      <c r="J381" s="178"/>
      <c r="K381" s="178"/>
      <c r="L381" s="178"/>
      <c r="M381" s="178"/>
      <c r="N381" s="178"/>
      <c r="O381" s="178"/>
      <c r="P381" s="178"/>
      <c r="Q381" s="178"/>
      <c r="R381" s="178"/>
      <c r="S381" s="178"/>
      <c r="T381" s="178"/>
      <c r="U381" s="178"/>
      <c r="V381" s="410"/>
      <c r="Z381" s="178"/>
      <c r="AA381" s="178"/>
      <c r="AB381" s="178"/>
      <c r="AC381" s="178"/>
      <c r="AD381" s="178"/>
      <c r="AE381" s="178"/>
      <c r="AF381" s="178"/>
      <c r="AG381" s="178"/>
      <c r="AH381" s="178"/>
      <c r="AI381" s="178"/>
      <c r="AJ381" s="178"/>
      <c r="AK381" s="178"/>
      <c r="AL381" s="178"/>
      <c r="AM381" s="178"/>
      <c r="AN381" s="178"/>
      <c r="AO381" s="178"/>
      <c r="AP381" s="178"/>
      <c r="AQ381" s="178"/>
      <c r="AR381" s="178"/>
      <c r="AS381" s="178"/>
    </row>
    <row r="382" spans="1:45" s="21" customFormat="1" x14ac:dyDescent="0.4">
      <c r="A382" s="27"/>
      <c r="B382" s="645"/>
      <c r="C382" s="645"/>
      <c r="D382" s="131" t="s">
        <v>44</v>
      </c>
      <c r="F382" s="178"/>
      <c r="G382" s="178"/>
      <c r="H382" s="127"/>
      <c r="I382" s="178"/>
      <c r="J382" s="178"/>
      <c r="K382" s="178"/>
      <c r="L382" s="178"/>
      <c r="M382" s="178"/>
      <c r="N382" s="178"/>
      <c r="O382" s="178"/>
      <c r="P382" s="178"/>
      <c r="Q382" s="178"/>
      <c r="R382" s="178"/>
      <c r="S382" s="178"/>
      <c r="T382" s="178"/>
      <c r="U382" s="178"/>
      <c r="V382" s="410"/>
      <c r="Z382" s="178"/>
      <c r="AA382" s="178"/>
      <c r="AB382" s="178"/>
      <c r="AC382" s="178"/>
      <c r="AD382" s="178"/>
      <c r="AE382" s="178"/>
      <c r="AF382" s="178"/>
      <c r="AG382" s="178"/>
      <c r="AH382" s="178"/>
      <c r="AI382" s="178"/>
      <c r="AJ382" s="178"/>
      <c r="AK382" s="178"/>
      <c r="AL382" s="178"/>
      <c r="AM382" s="178"/>
      <c r="AN382" s="178"/>
      <c r="AO382" s="178"/>
      <c r="AP382" s="178"/>
      <c r="AQ382" s="178"/>
      <c r="AR382" s="178"/>
      <c r="AS382" s="178"/>
    </row>
    <row r="383" spans="1:45" s="21" customFormat="1" x14ac:dyDescent="0.4">
      <c r="A383" s="27"/>
      <c r="B383" s="645"/>
      <c r="C383" s="645"/>
      <c r="D383" s="131" t="s">
        <v>44</v>
      </c>
      <c r="F383" s="178"/>
      <c r="G383" s="178"/>
      <c r="H383" s="127"/>
      <c r="I383" s="178"/>
      <c r="J383" s="178"/>
      <c r="K383" s="178"/>
      <c r="L383" s="178"/>
      <c r="M383" s="178"/>
      <c r="N383" s="178"/>
      <c r="O383" s="178"/>
      <c r="P383" s="178"/>
      <c r="Q383" s="178"/>
      <c r="R383" s="178"/>
      <c r="S383" s="178"/>
      <c r="T383" s="178"/>
      <c r="U383" s="178"/>
      <c r="V383" s="410"/>
      <c r="Z383" s="178"/>
      <c r="AA383" s="178"/>
      <c r="AB383" s="178"/>
      <c r="AC383" s="178"/>
      <c r="AD383" s="178"/>
      <c r="AE383" s="178"/>
      <c r="AF383" s="178"/>
      <c r="AG383" s="178"/>
      <c r="AH383" s="178"/>
      <c r="AI383" s="178"/>
      <c r="AJ383" s="178"/>
      <c r="AK383" s="178"/>
      <c r="AL383" s="178"/>
      <c r="AM383" s="178"/>
      <c r="AN383" s="178"/>
      <c r="AO383" s="178"/>
      <c r="AP383" s="178"/>
      <c r="AQ383" s="178"/>
      <c r="AR383" s="178"/>
      <c r="AS383" s="178"/>
    </row>
    <row r="384" spans="1:45" s="21" customFormat="1" x14ac:dyDescent="0.4">
      <c r="A384" s="27"/>
      <c r="B384" s="645"/>
      <c r="C384" s="645"/>
      <c r="D384" s="131" t="s">
        <v>44</v>
      </c>
      <c r="F384" s="178"/>
      <c r="G384" s="178"/>
      <c r="H384" s="127"/>
      <c r="I384" s="178"/>
      <c r="J384" s="178"/>
      <c r="K384" s="178"/>
      <c r="L384" s="178"/>
      <c r="M384" s="178"/>
      <c r="N384" s="178"/>
      <c r="O384" s="178"/>
      <c r="P384" s="178"/>
      <c r="Q384" s="178"/>
      <c r="R384" s="178"/>
      <c r="S384" s="178"/>
      <c r="T384" s="178"/>
      <c r="U384" s="178"/>
      <c r="V384" s="410"/>
      <c r="Z384" s="178"/>
      <c r="AA384" s="178"/>
      <c r="AB384" s="178"/>
      <c r="AC384" s="178"/>
      <c r="AD384" s="178"/>
      <c r="AE384" s="178"/>
      <c r="AF384" s="178"/>
      <c r="AG384" s="178"/>
      <c r="AH384" s="178"/>
      <c r="AI384" s="178"/>
      <c r="AJ384" s="178"/>
      <c r="AK384" s="178"/>
      <c r="AL384" s="178"/>
      <c r="AM384" s="178"/>
      <c r="AN384" s="178"/>
      <c r="AO384" s="178"/>
      <c r="AP384" s="178"/>
      <c r="AQ384" s="178"/>
      <c r="AR384" s="178"/>
      <c r="AS384" s="178"/>
    </row>
    <row r="385" spans="1:45" s="21" customFormat="1" x14ac:dyDescent="0.4">
      <c r="A385" s="27"/>
      <c r="B385" s="645"/>
      <c r="C385" s="645"/>
      <c r="D385" s="131" t="s">
        <v>44</v>
      </c>
      <c r="F385" s="178"/>
      <c r="G385" s="178"/>
      <c r="H385" s="127"/>
      <c r="I385" s="178"/>
      <c r="J385" s="178"/>
      <c r="K385" s="178"/>
      <c r="L385" s="178"/>
      <c r="M385" s="178"/>
      <c r="N385" s="178"/>
      <c r="O385" s="178"/>
      <c r="P385" s="178"/>
      <c r="Q385" s="178"/>
      <c r="R385" s="178"/>
      <c r="S385" s="178"/>
      <c r="T385" s="178"/>
      <c r="U385" s="178"/>
      <c r="V385" s="410"/>
      <c r="Z385" s="178"/>
      <c r="AA385" s="178"/>
      <c r="AB385" s="178"/>
      <c r="AC385" s="178"/>
      <c r="AD385" s="178"/>
      <c r="AE385" s="178"/>
      <c r="AF385" s="178"/>
      <c r="AG385" s="178"/>
      <c r="AH385" s="178"/>
      <c r="AI385" s="178"/>
      <c r="AJ385" s="178"/>
      <c r="AK385" s="178"/>
      <c r="AL385" s="178"/>
      <c r="AM385" s="178"/>
      <c r="AN385" s="178"/>
      <c r="AO385" s="178"/>
      <c r="AP385" s="178"/>
      <c r="AQ385" s="178"/>
      <c r="AR385" s="178"/>
      <c r="AS385" s="178"/>
    </row>
    <row r="386" spans="1:45" s="21" customFormat="1" x14ac:dyDescent="0.4">
      <c r="A386" s="27"/>
      <c r="B386" s="645"/>
      <c r="C386" s="645"/>
      <c r="D386" s="131" t="s">
        <v>44</v>
      </c>
      <c r="F386" s="178"/>
      <c r="G386" s="178"/>
      <c r="H386" s="127"/>
      <c r="I386" s="178"/>
      <c r="J386" s="178"/>
      <c r="K386" s="178"/>
      <c r="L386" s="178"/>
      <c r="M386" s="178"/>
      <c r="N386" s="178"/>
      <c r="O386" s="178"/>
      <c r="P386" s="178"/>
      <c r="Q386" s="178"/>
      <c r="R386" s="178"/>
      <c r="S386" s="178"/>
      <c r="T386" s="178"/>
      <c r="U386" s="178"/>
      <c r="V386" s="410"/>
      <c r="Z386" s="178"/>
      <c r="AA386" s="178"/>
      <c r="AB386" s="178"/>
      <c r="AC386" s="178"/>
      <c r="AD386" s="178"/>
      <c r="AE386" s="178"/>
      <c r="AF386" s="178"/>
      <c r="AG386" s="178"/>
      <c r="AH386" s="178"/>
      <c r="AI386" s="178"/>
      <c r="AJ386" s="178"/>
      <c r="AK386" s="178"/>
      <c r="AL386" s="178"/>
      <c r="AM386" s="178"/>
      <c r="AN386" s="178"/>
      <c r="AO386" s="178"/>
      <c r="AP386" s="178"/>
      <c r="AQ386" s="178"/>
      <c r="AR386" s="178"/>
      <c r="AS386" s="178"/>
    </row>
    <row r="387" spans="1:45" s="21" customFormat="1" x14ac:dyDescent="0.4">
      <c r="A387" s="27"/>
      <c r="B387" s="645"/>
      <c r="C387" s="645"/>
      <c r="D387" s="131" t="s">
        <v>44</v>
      </c>
      <c r="F387" s="178"/>
      <c r="G387" s="178"/>
      <c r="H387" s="127"/>
      <c r="I387" s="178"/>
      <c r="J387" s="178"/>
      <c r="K387" s="178"/>
      <c r="L387" s="178"/>
      <c r="M387" s="178"/>
      <c r="N387" s="178"/>
      <c r="O387" s="178"/>
      <c r="P387" s="178"/>
      <c r="Q387" s="178"/>
      <c r="R387" s="178"/>
      <c r="S387" s="178"/>
      <c r="T387" s="178"/>
      <c r="U387" s="178"/>
      <c r="V387" s="410"/>
      <c r="Z387" s="178"/>
      <c r="AA387" s="178"/>
      <c r="AB387" s="178"/>
      <c r="AC387" s="178"/>
      <c r="AD387" s="178"/>
      <c r="AE387" s="178"/>
      <c r="AF387" s="178"/>
      <c r="AG387" s="178"/>
      <c r="AH387" s="178"/>
      <c r="AI387" s="178"/>
      <c r="AJ387" s="178"/>
      <c r="AK387" s="178"/>
      <c r="AL387" s="178"/>
      <c r="AM387" s="178"/>
      <c r="AN387" s="178"/>
      <c r="AO387" s="178"/>
      <c r="AP387" s="178"/>
      <c r="AQ387" s="178"/>
      <c r="AR387" s="178"/>
      <c r="AS387" s="178"/>
    </row>
    <row r="388" spans="1:45" s="21" customFormat="1" x14ac:dyDescent="0.4">
      <c r="A388" s="27"/>
      <c r="B388" s="645"/>
      <c r="C388" s="645"/>
      <c r="D388" s="131" t="s">
        <v>44</v>
      </c>
      <c r="F388" s="178"/>
      <c r="G388" s="178"/>
      <c r="H388" s="127"/>
      <c r="I388" s="178"/>
      <c r="J388" s="178"/>
      <c r="K388" s="178"/>
      <c r="L388" s="178"/>
      <c r="M388" s="178"/>
      <c r="N388" s="178"/>
      <c r="O388" s="178"/>
      <c r="P388" s="178"/>
      <c r="Q388" s="178"/>
      <c r="R388" s="178"/>
      <c r="S388" s="178"/>
      <c r="T388" s="178"/>
      <c r="U388" s="178"/>
      <c r="V388" s="410"/>
      <c r="Z388" s="178"/>
      <c r="AA388" s="178"/>
      <c r="AB388" s="178"/>
      <c r="AC388" s="178"/>
      <c r="AD388" s="178"/>
      <c r="AE388" s="178"/>
      <c r="AF388" s="178"/>
      <c r="AG388" s="178"/>
      <c r="AH388" s="178"/>
      <c r="AI388" s="178"/>
      <c r="AJ388" s="178"/>
      <c r="AK388" s="178"/>
      <c r="AL388" s="178"/>
      <c r="AM388" s="178"/>
      <c r="AN388" s="178"/>
      <c r="AO388" s="178"/>
      <c r="AP388" s="178"/>
      <c r="AQ388" s="178"/>
      <c r="AR388" s="178"/>
      <c r="AS388" s="178"/>
    </row>
    <row r="389" spans="1:45" s="738" customFormat="1" ht="27" customHeight="1" x14ac:dyDescent="0.4">
      <c r="A389" s="737"/>
      <c r="B389" s="737"/>
      <c r="C389" s="737"/>
      <c r="E389" s="739" t="str">
        <f>UPPER('Talnagögn | Numerical Data'!$E$5)</f>
        <v>SÖGULEG LOSUN</v>
      </c>
      <c r="F389" s="740"/>
      <c r="G389" s="740"/>
      <c r="H389" s="740"/>
      <c r="I389" s="740"/>
      <c r="J389" s="740"/>
      <c r="K389" s="740"/>
      <c r="L389" s="740"/>
      <c r="M389" s="740"/>
      <c r="N389" s="740"/>
      <c r="O389" s="740"/>
      <c r="P389" s="740"/>
      <c r="Q389" s="740"/>
      <c r="R389" s="740"/>
      <c r="S389" s="740"/>
      <c r="T389" s="740"/>
      <c r="U389" s="740"/>
      <c r="V389" s="741"/>
      <c r="Y389" s="739" t="str">
        <f>UPPER('Talnagögn | Numerical Data'!$G$5)</f>
        <v>HISTORICAL EMISSIONS</v>
      </c>
      <c r="Z389" s="740"/>
      <c r="AA389" s="740"/>
      <c r="AB389" s="740"/>
      <c r="AC389" s="740"/>
      <c r="AD389" s="740"/>
      <c r="AE389" s="740"/>
      <c r="AF389" s="740"/>
      <c r="AG389" s="740"/>
      <c r="AH389" s="740"/>
      <c r="AI389" s="740"/>
      <c r="AJ389" s="740"/>
      <c r="AK389" s="740"/>
      <c r="AL389" s="740"/>
      <c r="AM389" s="740"/>
      <c r="AN389" s="740"/>
      <c r="AO389" s="740"/>
      <c r="AP389" s="740"/>
      <c r="AQ389" s="740"/>
      <c r="AR389" s="740"/>
      <c r="AS389" s="740"/>
    </row>
    <row r="390" spans="1:45" s="21" customFormat="1" x14ac:dyDescent="0.4">
      <c r="A390" s="27"/>
      <c r="B390" s="645"/>
      <c r="C390" s="645"/>
      <c r="D390" s="131" t="s">
        <v>44</v>
      </c>
      <c r="F390" s="178"/>
      <c r="G390" s="178"/>
      <c r="H390" s="127"/>
      <c r="I390" s="178"/>
      <c r="J390" s="178"/>
      <c r="K390" s="178"/>
      <c r="L390" s="178"/>
      <c r="M390" s="178"/>
      <c r="N390" s="178"/>
      <c r="O390" s="178"/>
      <c r="P390" s="178"/>
      <c r="Q390" s="178"/>
      <c r="R390" s="178"/>
      <c r="S390" s="178"/>
      <c r="T390" s="178"/>
      <c r="U390" s="178"/>
      <c r="V390" s="410"/>
      <c r="Z390" s="178"/>
      <c r="AA390" s="178"/>
      <c r="AB390" s="178"/>
      <c r="AC390" s="178"/>
      <c r="AD390" s="178"/>
      <c r="AE390" s="178"/>
      <c r="AF390" s="178"/>
      <c r="AG390" s="178"/>
      <c r="AH390" s="178"/>
      <c r="AI390" s="178"/>
      <c r="AJ390" s="178"/>
      <c r="AK390" s="178"/>
      <c r="AL390" s="178"/>
      <c r="AM390" s="178"/>
      <c r="AN390" s="178"/>
      <c r="AO390" s="178"/>
      <c r="AP390" s="178"/>
      <c r="AQ390" s="178"/>
      <c r="AR390" s="178"/>
      <c r="AS390" s="178"/>
    </row>
    <row r="391" spans="1:45" s="21" customFormat="1" x14ac:dyDescent="0.4">
      <c r="A391" s="27"/>
      <c r="B391" s="645"/>
      <c r="C391" s="645"/>
      <c r="D391" s="131" t="s">
        <v>44</v>
      </c>
      <c r="F391" s="178"/>
      <c r="G391" s="178"/>
      <c r="H391" s="127"/>
      <c r="I391" s="178"/>
      <c r="J391" s="178"/>
      <c r="K391" s="178"/>
      <c r="L391" s="178"/>
      <c r="M391" s="178"/>
      <c r="N391" s="178"/>
      <c r="O391" s="178"/>
      <c r="P391" s="178"/>
      <c r="Q391" s="178"/>
      <c r="R391" s="178"/>
      <c r="S391" s="178"/>
      <c r="T391" s="178"/>
      <c r="U391" s="178"/>
      <c r="V391" s="410"/>
      <c r="Z391" s="178"/>
      <c r="AA391" s="178"/>
      <c r="AB391" s="178"/>
      <c r="AC391" s="178"/>
      <c r="AD391" s="178"/>
      <c r="AE391" s="178"/>
      <c r="AF391" s="178"/>
      <c r="AG391" s="178"/>
      <c r="AH391" s="178"/>
      <c r="AI391" s="178"/>
      <c r="AJ391" s="178"/>
      <c r="AK391" s="178"/>
      <c r="AL391" s="178"/>
      <c r="AM391" s="178"/>
      <c r="AN391" s="178"/>
      <c r="AO391" s="178"/>
      <c r="AP391" s="178"/>
      <c r="AQ391" s="178"/>
      <c r="AR391" s="178"/>
      <c r="AS391" s="178"/>
    </row>
    <row r="392" spans="1:45" s="21" customFormat="1" x14ac:dyDescent="0.4">
      <c r="A392" s="27"/>
      <c r="B392" s="645"/>
      <c r="C392" s="645"/>
      <c r="D392" s="131" t="s">
        <v>44</v>
      </c>
      <c r="F392" s="178"/>
      <c r="G392" s="178"/>
      <c r="H392" s="127"/>
      <c r="I392" s="178"/>
      <c r="J392" s="178"/>
      <c r="K392" s="178"/>
      <c r="L392" s="178"/>
      <c r="M392" s="178"/>
      <c r="N392" s="178"/>
      <c r="O392" s="178"/>
      <c r="P392" s="178"/>
      <c r="Q392" s="178"/>
      <c r="R392" s="178"/>
      <c r="S392" s="178"/>
      <c r="T392" s="178"/>
      <c r="U392" s="178"/>
      <c r="V392" s="410"/>
      <c r="Z392" s="178"/>
      <c r="AA392" s="178"/>
      <c r="AB392" s="178"/>
      <c r="AC392" s="178"/>
      <c r="AD392" s="178"/>
      <c r="AE392" s="178"/>
      <c r="AF392" s="178"/>
      <c r="AG392" s="178"/>
      <c r="AH392" s="178"/>
      <c r="AI392" s="178"/>
      <c r="AJ392" s="178"/>
      <c r="AK392" s="178"/>
      <c r="AL392" s="178"/>
      <c r="AM392" s="178"/>
      <c r="AN392" s="178"/>
      <c r="AO392" s="178"/>
      <c r="AP392" s="178"/>
      <c r="AQ392" s="178"/>
      <c r="AR392" s="178"/>
      <c r="AS392" s="178"/>
    </row>
    <row r="393" spans="1:45" s="21" customFormat="1" x14ac:dyDescent="0.4">
      <c r="A393" s="27"/>
      <c r="B393" s="645"/>
      <c r="C393" s="645"/>
      <c r="D393" s="131" t="s">
        <v>44</v>
      </c>
      <c r="F393" s="178"/>
      <c r="G393" s="178"/>
      <c r="H393" s="127"/>
      <c r="I393" s="178"/>
      <c r="J393" s="178"/>
      <c r="K393" s="178"/>
      <c r="L393" s="178"/>
      <c r="M393" s="178"/>
      <c r="N393" s="178"/>
      <c r="O393" s="178"/>
      <c r="P393" s="178"/>
      <c r="Q393" s="178"/>
      <c r="R393" s="178"/>
      <c r="S393" s="178"/>
      <c r="T393" s="178"/>
      <c r="U393" s="178"/>
      <c r="V393" s="410"/>
      <c r="Z393" s="178"/>
      <c r="AA393" s="178"/>
      <c r="AB393" s="178"/>
      <c r="AC393" s="178"/>
      <c r="AD393" s="178"/>
      <c r="AE393" s="178"/>
      <c r="AF393" s="178"/>
      <c r="AG393" s="178"/>
      <c r="AH393" s="178"/>
      <c r="AI393" s="178"/>
      <c r="AJ393" s="178"/>
      <c r="AK393" s="178"/>
      <c r="AL393" s="178"/>
      <c r="AM393" s="178"/>
      <c r="AN393" s="178"/>
      <c r="AO393" s="178"/>
      <c r="AP393" s="178"/>
      <c r="AQ393" s="178"/>
      <c r="AR393" s="178"/>
      <c r="AS393" s="178"/>
    </row>
    <row r="394" spans="1:45" s="21" customFormat="1" x14ac:dyDescent="0.4">
      <c r="A394" s="27"/>
      <c r="B394" s="645"/>
      <c r="C394" s="645"/>
      <c r="D394" s="131" t="s">
        <v>44</v>
      </c>
      <c r="F394" s="178"/>
      <c r="G394" s="178"/>
      <c r="H394" s="127"/>
      <c r="I394" s="178"/>
      <c r="J394" s="178"/>
      <c r="K394" s="178"/>
      <c r="L394" s="178"/>
      <c r="M394" s="178"/>
      <c r="N394" s="178"/>
      <c r="O394" s="178"/>
      <c r="P394" s="178"/>
      <c r="Q394" s="178"/>
      <c r="R394" s="178"/>
      <c r="S394" s="178"/>
      <c r="T394" s="178"/>
      <c r="U394" s="178"/>
      <c r="V394" s="410"/>
      <c r="Z394" s="178"/>
      <c r="AA394" s="178"/>
      <c r="AB394" s="178"/>
      <c r="AC394" s="178"/>
      <c r="AD394" s="178"/>
      <c r="AE394" s="178"/>
      <c r="AF394" s="178"/>
      <c r="AG394" s="178"/>
      <c r="AH394" s="178"/>
      <c r="AI394" s="178"/>
      <c r="AJ394" s="178"/>
      <c r="AK394" s="178"/>
      <c r="AL394" s="178"/>
      <c r="AM394" s="178"/>
      <c r="AN394" s="178"/>
      <c r="AO394" s="178"/>
      <c r="AP394" s="178"/>
      <c r="AQ394" s="178"/>
      <c r="AR394" s="178"/>
      <c r="AS394" s="178"/>
    </row>
    <row r="395" spans="1:45" s="21" customFormat="1" x14ac:dyDescent="0.4">
      <c r="A395" s="27"/>
      <c r="B395" s="645"/>
      <c r="C395" s="645"/>
      <c r="D395" s="131" t="s">
        <v>44</v>
      </c>
      <c r="F395" s="178"/>
      <c r="G395" s="178"/>
      <c r="H395" s="127"/>
      <c r="I395" s="178"/>
      <c r="J395" s="178"/>
      <c r="K395" s="178"/>
      <c r="L395" s="178"/>
      <c r="M395" s="178"/>
      <c r="N395" s="178"/>
      <c r="O395" s="178"/>
      <c r="P395" s="178"/>
      <c r="Q395" s="178"/>
      <c r="R395" s="178"/>
      <c r="S395" s="178"/>
      <c r="T395" s="178"/>
      <c r="U395" s="178"/>
      <c r="V395" s="410"/>
      <c r="Z395" s="178"/>
      <c r="AA395" s="178"/>
      <c r="AB395" s="178"/>
      <c r="AC395" s="178"/>
      <c r="AD395" s="178"/>
      <c r="AE395" s="178"/>
      <c r="AF395" s="178"/>
      <c r="AG395" s="178"/>
      <c r="AH395" s="178"/>
      <c r="AI395" s="178"/>
      <c r="AJ395" s="178"/>
      <c r="AK395" s="178"/>
      <c r="AL395" s="178"/>
      <c r="AM395" s="178"/>
      <c r="AN395" s="178"/>
      <c r="AO395" s="178"/>
      <c r="AP395" s="178"/>
      <c r="AQ395" s="178"/>
      <c r="AR395" s="178"/>
      <c r="AS395" s="178"/>
    </row>
    <row r="396" spans="1:45" s="21" customFormat="1" x14ac:dyDescent="0.4">
      <c r="A396" s="27"/>
      <c r="B396" s="645"/>
      <c r="C396" s="645"/>
      <c r="D396" s="131" t="s">
        <v>44</v>
      </c>
      <c r="F396" s="178"/>
      <c r="G396" s="178"/>
      <c r="H396" s="127"/>
      <c r="I396" s="178"/>
      <c r="J396" s="178"/>
      <c r="K396" s="178"/>
      <c r="L396" s="178"/>
      <c r="M396" s="178"/>
      <c r="N396" s="178"/>
      <c r="O396" s="178"/>
      <c r="P396" s="178"/>
      <c r="Q396" s="178"/>
      <c r="R396" s="178"/>
      <c r="S396" s="178"/>
      <c r="T396" s="178"/>
      <c r="U396" s="178"/>
      <c r="V396" s="410"/>
      <c r="Z396" s="178"/>
      <c r="AA396" s="178"/>
      <c r="AB396" s="178"/>
      <c r="AC396" s="178"/>
      <c r="AD396" s="178"/>
      <c r="AE396" s="178"/>
      <c r="AF396" s="178"/>
      <c r="AG396" s="178"/>
      <c r="AH396" s="178"/>
      <c r="AI396" s="178"/>
      <c r="AJ396" s="178"/>
      <c r="AK396" s="178"/>
      <c r="AL396" s="178"/>
      <c r="AM396" s="178"/>
      <c r="AN396" s="178"/>
      <c r="AO396" s="178"/>
      <c r="AP396" s="178"/>
      <c r="AQ396" s="178"/>
      <c r="AR396" s="178"/>
      <c r="AS396" s="178"/>
    </row>
    <row r="397" spans="1:45" s="21" customFormat="1" x14ac:dyDescent="0.4">
      <c r="A397" s="27"/>
      <c r="B397" s="645"/>
      <c r="C397" s="645"/>
      <c r="D397" s="131" t="s">
        <v>44</v>
      </c>
      <c r="F397" s="178"/>
      <c r="G397" s="178"/>
      <c r="H397" s="127"/>
      <c r="I397" s="178"/>
      <c r="J397" s="178"/>
      <c r="K397" s="178"/>
      <c r="L397" s="178"/>
      <c r="M397" s="178"/>
      <c r="N397" s="178"/>
      <c r="O397" s="178"/>
      <c r="P397" s="178"/>
      <c r="Q397" s="178"/>
      <c r="R397" s="178"/>
      <c r="S397" s="178"/>
      <c r="T397" s="178"/>
      <c r="U397" s="178"/>
      <c r="V397" s="410"/>
      <c r="Z397" s="178"/>
      <c r="AA397" s="178"/>
      <c r="AB397" s="178"/>
      <c r="AC397" s="178"/>
      <c r="AD397" s="178"/>
      <c r="AE397" s="178"/>
      <c r="AF397" s="178"/>
      <c r="AG397" s="178"/>
      <c r="AH397" s="178"/>
      <c r="AI397" s="178"/>
      <c r="AJ397" s="178"/>
      <c r="AK397" s="178"/>
      <c r="AL397" s="178"/>
      <c r="AM397" s="178"/>
      <c r="AN397" s="178"/>
      <c r="AO397" s="178"/>
      <c r="AP397" s="178"/>
      <c r="AQ397" s="178"/>
      <c r="AR397" s="178"/>
      <c r="AS397" s="178"/>
    </row>
    <row r="398" spans="1:45" s="21" customFormat="1" x14ac:dyDescent="0.4">
      <c r="A398" s="27"/>
      <c r="B398" s="645"/>
      <c r="C398" s="645"/>
      <c r="D398" s="131" t="s">
        <v>44</v>
      </c>
      <c r="F398" s="178"/>
      <c r="G398" s="178"/>
      <c r="H398" s="127"/>
      <c r="I398" s="178"/>
      <c r="J398" s="178"/>
      <c r="K398" s="178"/>
      <c r="L398" s="178"/>
      <c r="M398" s="178"/>
      <c r="N398" s="178"/>
      <c r="O398" s="178"/>
      <c r="P398" s="178"/>
      <c r="Q398" s="178"/>
      <c r="R398" s="178"/>
      <c r="S398" s="178"/>
      <c r="T398" s="178"/>
      <c r="U398" s="178"/>
      <c r="V398" s="410"/>
      <c r="Z398" s="178"/>
      <c r="AA398" s="178"/>
      <c r="AB398" s="178"/>
      <c r="AC398" s="178"/>
      <c r="AD398" s="178"/>
      <c r="AE398" s="178"/>
      <c r="AF398" s="178"/>
      <c r="AG398" s="178"/>
      <c r="AH398" s="178"/>
      <c r="AI398" s="178"/>
      <c r="AJ398" s="178"/>
      <c r="AK398" s="178"/>
      <c r="AL398" s="178"/>
      <c r="AM398" s="178"/>
      <c r="AN398" s="178"/>
      <c r="AO398" s="178"/>
      <c r="AP398" s="178"/>
      <c r="AQ398" s="178"/>
      <c r="AR398" s="178"/>
      <c r="AS398" s="178"/>
    </row>
    <row r="399" spans="1:45" s="21" customFormat="1" x14ac:dyDescent="0.4">
      <c r="A399" s="27"/>
      <c r="B399" s="645"/>
      <c r="C399" s="645"/>
      <c r="D399" s="131" t="s">
        <v>44</v>
      </c>
      <c r="F399" s="178"/>
      <c r="G399" s="178"/>
      <c r="H399" s="127"/>
      <c r="I399" s="178"/>
      <c r="J399" s="178"/>
      <c r="K399" s="178"/>
      <c r="L399" s="178"/>
      <c r="M399" s="178"/>
      <c r="N399" s="178"/>
      <c r="O399" s="178"/>
      <c r="P399" s="178"/>
      <c r="Q399" s="178"/>
      <c r="R399" s="178"/>
      <c r="S399" s="178"/>
      <c r="T399" s="178"/>
      <c r="U399" s="178"/>
      <c r="V399" s="410"/>
      <c r="Z399" s="178"/>
      <c r="AA399" s="178"/>
      <c r="AB399" s="178"/>
      <c r="AC399" s="178"/>
      <c r="AD399" s="178"/>
      <c r="AE399" s="178"/>
      <c r="AF399" s="178"/>
      <c r="AG399" s="178"/>
      <c r="AH399" s="178"/>
      <c r="AI399" s="178"/>
      <c r="AJ399" s="178"/>
      <c r="AK399" s="178"/>
      <c r="AL399" s="178"/>
      <c r="AM399" s="178"/>
      <c r="AN399" s="178"/>
      <c r="AO399" s="178"/>
      <c r="AP399" s="178"/>
      <c r="AQ399" s="178"/>
      <c r="AR399" s="178"/>
      <c r="AS399" s="178"/>
    </row>
    <row r="400" spans="1:45" s="21" customFormat="1" x14ac:dyDescent="0.4">
      <c r="A400" s="27"/>
      <c r="B400" s="645"/>
      <c r="C400" s="645"/>
      <c r="D400" s="131" t="s">
        <v>44</v>
      </c>
      <c r="F400" s="178"/>
      <c r="G400" s="178"/>
      <c r="H400" s="127"/>
      <c r="I400" s="178"/>
      <c r="J400" s="178"/>
      <c r="K400" s="178"/>
      <c r="L400" s="178"/>
      <c r="M400" s="178"/>
      <c r="N400" s="178"/>
      <c r="O400" s="178"/>
      <c r="P400" s="178"/>
      <c r="Q400" s="178"/>
      <c r="R400" s="178"/>
      <c r="S400" s="178"/>
      <c r="T400" s="178"/>
      <c r="U400" s="178"/>
      <c r="V400" s="410"/>
      <c r="Z400" s="178"/>
      <c r="AA400" s="178"/>
      <c r="AB400" s="178"/>
      <c r="AC400" s="178"/>
      <c r="AD400" s="178"/>
      <c r="AE400" s="178"/>
      <c r="AF400" s="178"/>
      <c r="AG400" s="178"/>
      <c r="AH400" s="178"/>
      <c r="AI400" s="178"/>
      <c r="AJ400" s="178"/>
      <c r="AK400" s="178"/>
      <c r="AL400" s="178"/>
      <c r="AM400" s="178"/>
      <c r="AN400" s="178"/>
      <c r="AO400" s="178"/>
      <c r="AP400" s="178"/>
      <c r="AQ400" s="178"/>
      <c r="AR400" s="178"/>
      <c r="AS400" s="178"/>
    </row>
    <row r="401" spans="1:45" s="21" customFormat="1" ht="15" customHeight="1" x14ac:dyDescent="0.4">
      <c r="A401" s="27"/>
      <c r="B401" s="645"/>
      <c r="C401" s="645"/>
      <c r="D401" s="131" t="s">
        <v>44</v>
      </c>
      <c r="F401" s="178"/>
      <c r="G401" s="178"/>
      <c r="H401" s="127"/>
      <c r="I401" s="178"/>
      <c r="J401" s="178"/>
      <c r="K401" s="178"/>
      <c r="L401" s="178"/>
      <c r="M401" s="178"/>
      <c r="N401" s="178"/>
      <c r="O401" s="178"/>
      <c r="P401" s="178"/>
      <c r="Q401" s="178"/>
      <c r="R401" s="178"/>
      <c r="S401" s="178"/>
      <c r="T401" s="178"/>
      <c r="U401" s="178"/>
      <c r="V401" s="410"/>
      <c r="Z401" s="178"/>
      <c r="AA401" s="178"/>
      <c r="AB401" s="178"/>
      <c r="AC401" s="178"/>
      <c r="AD401" s="178"/>
      <c r="AE401" s="178"/>
      <c r="AF401" s="178"/>
      <c r="AG401" s="178"/>
      <c r="AH401" s="178"/>
      <c r="AI401" s="178"/>
      <c r="AJ401" s="178"/>
      <c r="AK401" s="178"/>
      <c r="AL401" s="178"/>
      <c r="AM401" s="178"/>
      <c r="AN401" s="178"/>
      <c r="AO401" s="178"/>
      <c r="AP401" s="178"/>
      <c r="AQ401" s="178"/>
      <c r="AR401" s="178"/>
      <c r="AS401" s="178"/>
    </row>
    <row r="402" spans="1:45" s="21" customFormat="1" ht="15" customHeight="1" x14ac:dyDescent="0.4">
      <c r="A402" s="27"/>
      <c r="B402" s="645"/>
      <c r="C402" s="645"/>
      <c r="D402" s="131" t="s">
        <v>44</v>
      </c>
      <c r="F402" s="178"/>
      <c r="G402" s="178"/>
      <c r="H402" s="127"/>
      <c r="I402" s="178"/>
      <c r="J402" s="178"/>
      <c r="K402" s="178"/>
      <c r="L402" s="178"/>
      <c r="M402" s="178"/>
      <c r="N402" s="178"/>
      <c r="O402" s="178"/>
      <c r="P402" s="178"/>
      <c r="Q402" s="178"/>
      <c r="R402" s="178"/>
      <c r="S402" s="178"/>
      <c r="T402" s="178"/>
      <c r="U402" s="178"/>
      <c r="V402" s="410"/>
      <c r="Z402" s="178"/>
      <c r="AA402" s="178"/>
      <c r="AB402" s="178"/>
      <c r="AC402" s="178"/>
      <c r="AD402" s="178"/>
      <c r="AE402" s="178"/>
      <c r="AF402" s="178"/>
      <c r="AG402" s="178"/>
      <c r="AH402" s="178"/>
      <c r="AI402" s="178"/>
      <c r="AJ402" s="178"/>
      <c r="AK402" s="178"/>
      <c r="AL402" s="178"/>
      <c r="AM402" s="178"/>
      <c r="AN402" s="178"/>
      <c r="AO402" s="178"/>
      <c r="AP402" s="178"/>
      <c r="AQ402" s="178"/>
      <c r="AR402" s="178"/>
      <c r="AS402" s="178"/>
    </row>
    <row r="403" spans="1:45" s="21" customFormat="1" ht="15" customHeight="1" x14ac:dyDescent="0.4">
      <c r="A403" s="27"/>
      <c r="B403" s="645"/>
      <c r="C403" s="645"/>
      <c r="D403" s="131" t="s">
        <v>44</v>
      </c>
      <c r="F403" s="178"/>
      <c r="G403" s="178"/>
      <c r="H403" s="127"/>
      <c r="I403" s="178"/>
      <c r="J403" s="178"/>
      <c r="K403" s="178"/>
      <c r="L403" s="178"/>
      <c r="M403" s="178"/>
      <c r="N403" s="178"/>
      <c r="O403" s="178"/>
      <c r="P403" s="178"/>
      <c r="Q403" s="178"/>
      <c r="R403" s="178"/>
      <c r="S403" s="178"/>
      <c r="T403" s="178"/>
      <c r="U403" s="178"/>
      <c r="V403" s="410"/>
      <c r="Z403" s="178"/>
      <c r="AA403" s="178"/>
      <c r="AB403" s="178"/>
      <c r="AC403" s="178"/>
      <c r="AD403" s="178"/>
      <c r="AE403" s="178"/>
      <c r="AF403" s="178"/>
      <c r="AG403" s="178"/>
      <c r="AH403" s="178"/>
      <c r="AI403" s="178"/>
      <c r="AJ403" s="178"/>
      <c r="AK403" s="178"/>
      <c r="AL403" s="178"/>
      <c r="AM403" s="178"/>
      <c r="AN403" s="178"/>
      <c r="AO403" s="178"/>
      <c r="AP403" s="178"/>
      <c r="AQ403" s="178"/>
      <c r="AR403" s="178"/>
      <c r="AS403" s="178"/>
    </row>
    <row r="404" spans="1:45" s="21" customFormat="1" x14ac:dyDescent="0.4">
      <c r="A404" s="27"/>
      <c r="B404" s="645"/>
      <c r="C404" s="645"/>
      <c r="D404" s="131" t="s">
        <v>44</v>
      </c>
      <c r="F404" s="178"/>
      <c r="G404" s="178"/>
      <c r="H404" s="127"/>
      <c r="I404" s="178"/>
      <c r="J404" s="178"/>
      <c r="K404" s="178"/>
      <c r="L404" s="178"/>
      <c r="M404" s="178"/>
      <c r="N404" s="178"/>
      <c r="O404" s="178"/>
      <c r="P404" s="178"/>
      <c r="Q404" s="178"/>
      <c r="R404" s="178"/>
      <c r="S404" s="178"/>
      <c r="T404" s="178"/>
      <c r="U404" s="178"/>
      <c r="V404" s="410"/>
      <c r="Z404" s="178"/>
      <c r="AA404" s="178"/>
      <c r="AB404" s="178"/>
      <c r="AC404" s="178"/>
      <c r="AD404" s="178"/>
      <c r="AE404" s="178"/>
      <c r="AF404" s="178"/>
      <c r="AG404" s="178"/>
      <c r="AH404" s="178"/>
      <c r="AI404" s="178"/>
      <c r="AJ404" s="178"/>
      <c r="AK404" s="178"/>
      <c r="AL404" s="178"/>
      <c r="AM404" s="178"/>
      <c r="AN404" s="178"/>
      <c r="AO404" s="178"/>
      <c r="AP404" s="178"/>
      <c r="AQ404" s="178"/>
      <c r="AR404" s="178"/>
      <c r="AS404" s="178"/>
    </row>
    <row r="405" spans="1:45" s="21" customFormat="1" x14ac:dyDescent="0.4">
      <c r="A405" s="27"/>
      <c r="B405" s="645"/>
      <c r="C405" s="645"/>
      <c r="D405" s="131" t="s">
        <v>44</v>
      </c>
      <c r="F405" s="178"/>
      <c r="G405" s="178"/>
      <c r="H405" s="127"/>
      <c r="I405" s="178"/>
      <c r="J405" s="178"/>
      <c r="K405" s="178"/>
      <c r="L405" s="178"/>
      <c r="M405" s="178"/>
      <c r="N405" s="178"/>
      <c r="O405" s="178"/>
      <c r="P405" s="178"/>
      <c r="Q405" s="178"/>
      <c r="R405" s="178"/>
      <c r="S405" s="178"/>
      <c r="T405" s="178"/>
      <c r="U405" s="178"/>
      <c r="V405" s="410"/>
      <c r="Z405" s="178"/>
      <c r="AA405" s="178"/>
      <c r="AB405" s="178"/>
      <c r="AC405" s="178"/>
      <c r="AD405" s="178"/>
      <c r="AE405" s="178"/>
      <c r="AF405" s="178"/>
      <c r="AG405" s="178"/>
      <c r="AH405" s="178"/>
      <c r="AI405" s="178"/>
      <c r="AJ405" s="178"/>
      <c r="AK405" s="178"/>
      <c r="AL405" s="178"/>
      <c r="AM405" s="178"/>
      <c r="AN405" s="178"/>
      <c r="AO405" s="178"/>
      <c r="AP405" s="178"/>
      <c r="AQ405" s="178"/>
      <c r="AR405" s="178"/>
      <c r="AS405" s="178"/>
    </row>
    <row r="406" spans="1:45" s="21" customFormat="1" x14ac:dyDescent="0.4">
      <c r="A406" s="27"/>
      <c r="B406" s="645"/>
      <c r="C406" s="645"/>
      <c r="D406" s="131" t="s">
        <v>44</v>
      </c>
      <c r="F406" s="178"/>
      <c r="G406" s="178"/>
      <c r="H406" s="127"/>
      <c r="I406" s="178"/>
      <c r="J406" s="178"/>
      <c r="K406" s="178"/>
      <c r="L406" s="178"/>
      <c r="M406" s="178"/>
      <c r="N406" s="178"/>
      <c r="O406" s="178"/>
      <c r="P406" s="178"/>
      <c r="Q406" s="178"/>
      <c r="R406" s="178"/>
      <c r="S406" s="178"/>
      <c r="T406" s="178"/>
      <c r="U406" s="178"/>
      <c r="V406" s="410"/>
      <c r="Z406" s="178"/>
      <c r="AA406" s="178"/>
      <c r="AB406" s="178"/>
      <c r="AC406" s="178"/>
      <c r="AD406" s="178"/>
      <c r="AE406" s="178"/>
      <c r="AF406" s="178"/>
      <c r="AG406" s="178"/>
      <c r="AH406" s="178"/>
      <c r="AI406" s="178"/>
      <c r="AJ406" s="178"/>
      <c r="AK406" s="178"/>
      <c r="AL406" s="178"/>
      <c r="AM406" s="178"/>
      <c r="AN406" s="178"/>
      <c r="AO406" s="178"/>
      <c r="AP406" s="178"/>
      <c r="AQ406" s="178"/>
      <c r="AR406" s="178"/>
      <c r="AS406" s="178"/>
    </row>
    <row r="407" spans="1:45" s="21" customFormat="1" x14ac:dyDescent="0.4">
      <c r="A407" s="27"/>
      <c r="B407" s="645"/>
      <c r="C407" s="645"/>
      <c r="D407" s="131" t="s">
        <v>44</v>
      </c>
      <c r="F407" s="178"/>
      <c r="G407" s="178"/>
      <c r="H407" s="127"/>
      <c r="I407" s="178"/>
      <c r="J407" s="178"/>
      <c r="K407" s="178"/>
      <c r="L407" s="178"/>
      <c r="M407" s="178"/>
      <c r="N407" s="178"/>
      <c r="O407" s="178"/>
      <c r="P407" s="178"/>
      <c r="Q407" s="178"/>
      <c r="R407" s="178"/>
      <c r="S407" s="178"/>
      <c r="T407" s="178"/>
      <c r="U407" s="178"/>
      <c r="V407" s="410"/>
      <c r="Z407" s="178"/>
      <c r="AA407" s="178"/>
      <c r="AB407" s="178"/>
      <c r="AC407" s="178"/>
      <c r="AD407" s="178"/>
      <c r="AE407" s="178"/>
      <c r="AF407" s="178"/>
      <c r="AG407" s="178"/>
      <c r="AH407" s="178"/>
      <c r="AI407" s="178"/>
      <c r="AJ407" s="178"/>
      <c r="AK407" s="178"/>
      <c r="AL407" s="178"/>
      <c r="AM407" s="178"/>
      <c r="AN407" s="178"/>
      <c r="AO407" s="178"/>
      <c r="AP407" s="178"/>
      <c r="AQ407" s="178"/>
      <c r="AR407" s="178"/>
      <c r="AS407" s="178"/>
    </row>
    <row r="408" spans="1:45" s="21" customFormat="1" x14ac:dyDescent="0.4">
      <c r="A408" s="27"/>
      <c r="B408" s="645"/>
      <c r="C408" s="645"/>
      <c r="D408" s="131" t="s">
        <v>44</v>
      </c>
      <c r="F408" s="178"/>
      <c r="G408" s="178"/>
      <c r="H408" s="127"/>
      <c r="I408" s="178"/>
      <c r="J408" s="178"/>
      <c r="K408" s="178"/>
      <c r="L408" s="178"/>
      <c r="M408" s="178"/>
      <c r="N408" s="178"/>
      <c r="O408" s="178"/>
      <c r="P408" s="178"/>
      <c r="Q408" s="178"/>
      <c r="R408" s="178"/>
      <c r="S408" s="178"/>
      <c r="T408" s="178"/>
      <c r="U408" s="178"/>
      <c r="V408" s="410"/>
      <c r="Z408" s="178"/>
      <c r="AA408" s="178"/>
      <c r="AB408" s="178"/>
      <c r="AC408" s="178"/>
      <c r="AD408" s="178"/>
      <c r="AE408" s="178"/>
      <c r="AF408" s="178"/>
      <c r="AG408" s="178"/>
      <c r="AH408" s="178"/>
      <c r="AI408" s="178"/>
      <c r="AJ408" s="178"/>
      <c r="AK408" s="178"/>
      <c r="AL408" s="178"/>
      <c r="AM408" s="178"/>
      <c r="AN408" s="178"/>
      <c r="AO408" s="178"/>
      <c r="AP408" s="178"/>
      <c r="AQ408" s="178"/>
      <c r="AR408" s="178"/>
      <c r="AS408" s="178"/>
    </row>
    <row r="409" spans="1:45" s="21" customFormat="1" x14ac:dyDescent="0.4">
      <c r="A409" s="27"/>
      <c r="B409" s="645"/>
      <c r="C409" s="645"/>
      <c r="D409" s="131" t="s">
        <v>44</v>
      </c>
      <c r="F409" s="178"/>
      <c r="G409" s="178"/>
      <c r="H409" s="127"/>
      <c r="I409" s="178"/>
      <c r="J409" s="178"/>
      <c r="K409" s="178"/>
      <c r="L409" s="178"/>
      <c r="M409" s="178"/>
      <c r="N409" s="178"/>
      <c r="O409" s="178"/>
      <c r="P409" s="178"/>
      <c r="Q409" s="178"/>
      <c r="R409" s="178"/>
      <c r="S409" s="178"/>
      <c r="T409" s="178"/>
      <c r="U409" s="178"/>
      <c r="V409" s="410"/>
      <c r="Z409" s="178"/>
      <c r="AA409" s="178"/>
      <c r="AB409" s="178"/>
      <c r="AC409" s="178"/>
      <c r="AD409" s="178"/>
      <c r="AE409" s="178"/>
      <c r="AF409" s="178"/>
      <c r="AG409" s="178"/>
      <c r="AH409" s="178"/>
      <c r="AI409" s="178"/>
      <c r="AJ409" s="178"/>
      <c r="AK409" s="178"/>
      <c r="AL409" s="178"/>
      <c r="AM409" s="178"/>
      <c r="AN409" s="178"/>
      <c r="AO409" s="178"/>
      <c r="AP409" s="178"/>
      <c r="AQ409" s="178"/>
      <c r="AR409" s="178"/>
      <c r="AS409" s="178"/>
    </row>
    <row r="410" spans="1:45" s="21" customFormat="1" x14ac:dyDescent="0.4">
      <c r="A410" s="27"/>
      <c r="B410" s="645"/>
      <c r="C410" s="645"/>
      <c r="D410" s="131" t="s">
        <v>44</v>
      </c>
      <c r="F410" s="178"/>
      <c r="G410" s="178"/>
      <c r="H410" s="127"/>
      <c r="I410" s="178"/>
      <c r="J410" s="178"/>
      <c r="K410" s="178"/>
      <c r="L410" s="178"/>
      <c r="M410" s="178"/>
      <c r="N410" s="178"/>
      <c r="O410" s="178"/>
      <c r="P410" s="178"/>
      <c r="Q410" s="178"/>
      <c r="R410" s="178"/>
      <c r="S410" s="178"/>
      <c r="T410" s="178"/>
      <c r="U410" s="178"/>
      <c r="V410" s="410"/>
      <c r="Z410" s="178"/>
      <c r="AA410" s="178"/>
      <c r="AB410" s="178"/>
      <c r="AC410" s="178"/>
      <c r="AD410" s="178"/>
      <c r="AE410" s="178"/>
      <c r="AF410" s="178"/>
      <c r="AG410" s="178"/>
      <c r="AH410" s="178"/>
      <c r="AI410" s="178"/>
      <c r="AJ410" s="178"/>
      <c r="AK410" s="178"/>
      <c r="AL410" s="178"/>
      <c r="AM410" s="178"/>
      <c r="AN410" s="178"/>
      <c r="AO410" s="178"/>
      <c r="AP410" s="178"/>
      <c r="AQ410" s="178"/>
      <c r="AR410" s="178"/>
      <c r="AS410" s="178"/>
    </row>
    <row r="411" spans="1:45" s="21" customFormat="1" x14ac:dyDescent="0.4">
      <c r="A411" s="27"/>
      <c r="B411" s="645"/>
      <c r="C411" s="645"/>
      <c r="D411" s="131" t="s">
        <v>44</v>
      </c>
      <c r="F411" s="178"/>
      <c r="G411" s="178"/>
      <c r="H411" s="127"/>
      <c r="I411" s="178"/>
      <c r="J411" s="178"/>
      <c r="K411" s="178"/>
      <c r="L411" s="178"/>
      <c r="M411" s="178"/>
      <c r="N411" s="178"/>
      <c r="O411" s="178"/>
      <c r="P411" s="178"/>
      <c r="Q411" s="178"/>
      <c r="R411" s="178"/>
      <c r="S411" s="178"/>
      <c r="T411" s="178"/>
      <c r="U411" s="178"/>
      <c r="V411" s="410"/>
      <c r="Z411" s="178"/>
      <c r="AA411" s="178"/>
      <c r="AB411" s="178"/>
      <c r="AC411" s="178"/>
      <c r="AD411" s="178"/>
      <c r="AE411" s="178"/>
      <c r="AF411" s="178"/>
      <c r="AG411" s="178"/>
      <c r="AH411" s="178"/>
      <c r="AI411" s="178"/>
      <c r="AJ411" s="178"/>
      <c r="AK411" s="178"/>
      <c r="AL411" s="178"/>
      <c r="AM411" s="178"/>
      <c r="AN411" s="178"/>
      <c r="AO411" s="178"/>
      <c r="AP411" s="178"/>
      <c r="AQ411" s="178"/>
      <c r="AR411" s="178"/>
      <c r="AS411" s="178"/>
    </row>
    <row r="412" spans="1:45" s="21" customFormat="1" x14ac:dyDescent="0.4">
      <c r="A412" s="27"/>
      <c r="B412" s="645"/>
      <c r="C412" s="645"/>
      <c r="D412" s="131"/>
      <c r="F412" s="178"/>
      <c r="G412" s="178"/>
      <c r="H412" s="127"/>
      <c r="I412" s="178"/>
      <c r="J412" s="178"/>
      <c r="K412" s="178"/>
      <c r="L412" s="178"/>
      <c r="M412" s="178"/>
      <c r="N412" s="178"/>
      <c r="O412" s="178"/>
      <c r="P412" s="178"/>
      <c r="Q412" s="178"/>
      <c r="R412" s="178"/>
      <c r="S412" s="178"/>
      <c r="T412" s="178"/>
      <c r="U412" s="178"/>
      <c r="V412" s="410"/>
      <c r="Z412" s="178"/>
      <c r="AA412" s="178"/>
      <c r="AB412" s="178"/>
      <c r="AC412" s="178"/>
      <c r="AD412" s="178"/>
      <c r="AE412" s="178"/>
      <c r="AF412" s="178"/>
      <c r="AG412" s="178"/>
      <c r="AH412" s="178"/>
      <c r="AI412" s="178"/>
      <c r="AJ412" s="178"/>
      <c r="AK412" s="178"/>
      <c r="AL412" s="178"/>
      <c r="AM412" s="178"/>
      <c r="AN412" s="178"/>
      <c r="AO412" s="178"/>
      <c r="AP412" s="178"/>
      <c r="AQ412" s="178"/>
      <c r="AR412" s="178"/>
      <c r="AS412" s="178"/>
    </row>
    <row r="413" spans="1:45" s="21" customFormat="1" x14ac:dyDescent="0.4">
      <c r="A413" s="27"/>
      <c r="B413" s="645"/>
      <c r="C413" s="645"/>
      <c r="D413" s="131"/>
      <c r="F413" s="178"/>
      <c r="G413" s="178"/>
      <c r="H413" s="127"/>
      <c r="I413" s="178"/>
      <c r="J413" s="178"/>
      <c r="K413" s="178"/>
      <c r="L413" s="178"/>
      <c r="M413" s="178"/>
      <c r="N413" s="178"/>
      <c r="O413" s="178"/>
      <c r="P413" s="178"/>
      <c r="Q413" s="178"/>
      <c r="R413" s="178"/>
      <c r="S413" s="178"/>
      <c r="T413" s="178"/>
      <c r="U413" s="178"/>
      <c r="V413" s="410"/>
      <c r="Z413" s="178"/>
      <c r="AA413" s="178"/>
      <c r="AB413" s="178"/>
      <c r="AC413" s="178"/>
      <c r="AD413" s="178"/>
      <c r="AE413" s="178"/>
      <c r="AF413" s="178"/>
      <c r="AG413" s="178"/>
      <c r="AH413" s="178"/>
      <c r="AI413" s="178"/>
      <c r="AJ413" s="178"/>
      <c r="AK413" s="178"/>
      <c r="AL413" s="178"/>
      <c r="AM413" s="178"/>
      <c r="AN413" s="178"/>
      <c r="AO413" s="178"/>
      <c r="AP413" s="178"/>
      <c r="AQ413" s="178"/>
      <c r="AR413" s="178"/>
      <c r="AS413" s="178"/>
    </row>
    <row r="414" spans="1:45" s="21" customFormat="1" x14ac:dyDescent="0.4">
      <c r="A414" s="27"/>
      <c r="B414" s="645"/>
      <c r="C414" s="645"/>
      <c r="D414" s="131"/>
      <c r="F414" s="178"/>
      <c r="G414" s="178"/>
      <c r="H414" s="127"/>
      <c r="I414" s="178"/>
      <c r="J414" s="178"/>
      <c r="K414" s="178"/>
      <c r="L414" s="178"/>
      <c r="M414" s="178"/>
      <c r="N414" s="178"/>
      <c r="O414" s="178"/>
      <c r="P414" s="178"/>
      <c r="Q414" s="178"/>
      <c r="R414" s="178"/>
      <c r="S414" s="178"/>
      <c r="T414" s="178"/>
      <c r="U414" s="178"/>
      <c r="V414" s="410"/>
      <c r="Z414" s="178"/>
      <c r="AA414" s="178"/>
      <c r="AB414" s="178"/>
      <c r="AC414" s="178"/>
      <c r="AD414" s="178"/>
      <c r="AE414" s="178"/>
      <c r="AF414" s="178"/>
      <c r="AG414" s="178"/>
      <c r="AH414" s="178"/>
      <c r="AI414" s="178"/>
      <c r="AJ414" s="178"/>
      <c r="AK414" s="178"/>
      <c r="AL414" s="178"/>
      <c r="AM414" s="178"/>
      <c r="AN414" s="178"/>
      <c r="AO414" s="178"/>
      <c r="AP414" s="178"/>
      <c r="AQ414" s="178"/>
      <c r="AR414" s="178"/>
      <c r="AS414" s="178"/>
    </row>
    <row r="415" spans="1:45" s="21" customFormat="1" x14ac:dyDescent="0.4">
      <c r="A415" s="27"/>
      <c r="B415" s="645"/>
      <c r="C415" s="645"/>
      <c r="D415" s="131"/>
      <c r="F415" s="178"/>
      <c r="G415" s="178"/>
      <c r="H415" s="127"/>
      <c r="I415" s="178"/>
      <c r="J415" s="178"/>
      <c r="K415" s="178"/>
      <c r="L415" s="178"/>
      <c r="M415" s="178"/>
      <c r="N415" s="178"/>
      <c r="O415" s="178"/>
      <c r="P415" s="178"/>
      <c r="Q415" s="178"/>
      <c r="R415" s="178"/>
      <c r="S415" s="178"/>
      <c r="T415" s="178"/>
      <c r="U415" s="178"/>
      <c r="V415" s="410"/>
      <c r="Z415" s="178"/>
      <c r="AA415" s="178"/>
      <c r="AB415" s="178"/>
      <c r="AC415" s="178"/>
      <c r="AD415" s="178"/>
      <c r="AE415" s="178"/>
      <c r="AF415" s="178"/>
      <c r="AG415" s="178"/>
      <c r="AH415" s="178"/>
      <c r="AI415" s="178"/>
      <c r="AJ415" s="178"/>
      <c r="AK415" s="178"/>
      <c r="AL415" s="178"/>
      <c r="AM415" s="178"/>
      <c r="AN415" s="178"/>
      <c r="AO415" s="178"/>
      <c r="AP415" s="178"/>
      <c r="AQ415" s="178"/>
      <c r="AR415" s="178"/>
      <c r="AS415" s="178"/>
    </row>
    <row r="416" spans="1:45" s="21" customFormat="1" x14ac:dyDescent="0.4">
      <c r="A416" s="27"/>
      <c r="B416" s="645"/>
      <c r="C416" s="645"/>
      <c r="D416" s="131"/>
      <c r="F416" s="178"/>
      <c r="G416" s="178"/>
      <c r="H416" s="127"/>
      <c r="I416" s="178"/>
      <c r="J416" s="178"/>
      <c r="K416" s="178"/>
      <c r="L416" s="178"/>
      <c r="M416" s="178"/>
      <c r="N416" s="178"/>
      <c r="O416" s="178"/>
      <c r="P416" s="178"/>
      <c r="Q416" s="178"/>
      <c r="R416" s="178"/>
      <c r="S416" s="178"/>
      <c r="T416" s="178"/>
      <c r="U416" s="178"/>
      <c r="V416" s="410"/>
      <c r="Z416" s="178"/>
      <c r="AA416" s="178"/>
      <c r="AB416" s="178"/>
      <c r="AC416" s="178"/>
      <c r="AD416" s="178"/>
      <c r="AE416" s="178"/>
      <c r="AF416" s="178"/>
      <c r="AG416" s="178"/>
      <c r="AH416" s="178"/>
      <c r="AI416" s="178"/>
      <c r="AJ416" s="178"/>
      <c r="AK416" s="178"/>
      <c r="AL416" s="178"/>
      <c r="AM416" s="178"/>
      <c r="AN416" s="178"/>
      <c r="AO416" s="178"/>
      <c r="AP416" s="178"/>
      <c r="AQ416" s="178"/>
      <c r="AR416" s="178"/>
      <c r="AS416" s="178"/>
    </row>
    <row r="417" spans="1:45" s="21" customFormat="1" x14ac:dyDescent="0.4">
      <c r="A417" s="27"/>
      <c r="B417" s="645"/>
      <c r="C417" s="645"/>
      <c r="D417" s="131"/>
      <c r="F417" s="178"/>
      <c r="G417" s="178"/>
      <c r="H417" s="127"/>
      <c r="I417" s="178"/>
      <c r="J417" s="178"/>
      <c r="K417" s="178"/>
      <c r="L417" s="178"/>
      <c r="M417" s="178"/>
      <c r="N417" s="178"/>
      <c r="O417" s="178"/>
      <c r="P417" s="178"/>
      <c r="Q417" s="178"/>
      <c r="R417" s="178"/>
      <c r="S417" s="178"/>
      <c r="T417" s="178"/>
      <c r="U417" s="178"/>
      <c r="V417" s="410"/>
      <c r="Z417" s="178"/>
      <c r="AA417" s="178"/>
      <c r="AB417" s="178"/>
      <c r="AC417" s="178"/>
      <c r="AD417" s="178"/>
      <c r="AE417" s="178"/>
      <c r="AF417" s="178"/>
      <c r="AG417" s="178"/>
      <c r="AH417" s="178"/>
      <c r="AI417" s="178"/>
      <c r="AJ417" s="178"/>
      <c r="AK417" s="178"/>
      <c r="AL417" s="178"/>
      <c r="AM417" s="178"/>
      <c r="AN417" s="178"/>
      <c r="AO417" s="178"/>
      <c r="AP417" s="178"/>
      <c r="AQ417" s="178"/>
      <c r="AR417" s="178"/>
      <c r="AS417" s="178"/>
    </row>
    <row r="418" spans="1:45" s="21" customFormat="1" x14ac:dyDescent="0.4">
      <c r="A418" s="27"/>
      <c r="B418" s="645"/>
      <c r="C418" s="645"/>
      <c r="D418" s="131"/>
      <c r="F418" s="178"/>
      <c r="G418" s="178"/>
      <c r="H418" s="127"/>
      <c r="I418" s="178"/>
      <c r="J418" s="178"/>
      <c r="K418" s="178"/>
      <c r="L418" s="178"/>
      <c r="M418" s="178"/>
      <c r="N418" s="178"/>
      <c r="O418" s="178"/>
      <c r="P418" s="178"/>
      <c r="Q418" s="178"/>
      <c r="R418" s="178"/>
      <c r="S418" s="178"/>
      <c r="T418" s="178"/>
      <c r="U418" s="178"/>
      <c r="V418" s="410"/>
      <c r="Z418" s="178"/>
      <c r="AA418" s="178"/>
      <c r="AB418" s="178"/>
      <c r="AC418" s="178"/>
      <c r="AD418" s="178"/>
      <c r="AE418" s="178"/>
      <c r="AF418" s="178"/>
      <c r="AG418" s="178"/>
      <c r="AH418" s="178"/>
      <c r="AI418" s="178"/>
      <c r="AJ418" s="178"/>
      <c r="AK418" s="178"/>
      <c r="AL418" s="178"/>
      <c r="AM418" s="178"/>
      <c r="AN418" s="178"/>
      <c r="AO418" s="178"/>
      <c r="AP418" s="178"/>
      <c r="AQ418" s="178"/>
      <c r="AR418" s="178"/>
      <c r="AS418" s="178"/>
    </row>
    <row r="419" spans="1:45" s="21" customFormat="1" x14ac:dyDescent="0.4">
      <c r="A419" s="27"/>
      <c r="B419" s="645"/>
      <c r="C419" s="645"/>
      <c r="D419" s="131"/>
      <c r="F419" s="178"/>
      <c r="G419" s="178"/>
      <c r="H419" s="127"/>
      <c r="I419" s="178"/>
      <c r="J419" s="178"/>
      <c r="K419" s="178"/>
      <c r="L419" s="178"/>
      <c r="M419" s="178"/>
      <c r="N419" s="178"/>
      <c r="O419" s="178"/>
      <c r="P419" s="178"/>
      <c r="Q419" s="178"/>
      <c r="R419" s="178"/>
      <c r="S419" s="178"/>
      <c r="T419" s="178"/>
      <c r="U419" s="178"/>
      <c r="V419" s="410"/>
      <c r="Z419" s="178"/>
      <c r="AA419" s="178"/>
      <c r="AB419" s="178"/>
      <c r="AC419" s="178"/>
      <c r="AD419" s="178"/>
      <c r="AE419" s="178"/>
      <c r="AF419" s="178"/>
      <c r="AG419" s="178"/>
      <c r="AH419" s="178"/>
      <c r="AI419" s="178"/>
      <c r="AJ419" s="178"/>
      <c r="AK419" s="178"/>
      <c r="AL419" s="178"/>
      <c r="AM419" s="178"/>
      <c r="AN419" s="178"/>
      <c r="AO419" s="178"/>
      <c r="AP419" s="178"/>
      <c r="AQ419" s="178"/>
      <c r="AR419" s="178"/>
      <c r="AS419" s="178"/>
    </row>
    <row r="420" spans="1:45" s="21" customFormat="1" x14ac:dyDescent="0.4">
      <c r="A420" s="27"/>
      <c r="B420" s="645"/>
      <c r="C420" s="645"/>
      <c r="D420" s="131"/>
      <c r="F420" s="178"/>
      <c r="G420" s="178"/>
      <c r="H420" s="127"/>
      <c r="I420" s="178"/>
      <c r="J420" s="178"/>
      <c r="K420" s="178"/>
      <c r="L420" s="178"/>
      <c r="M420" s="178"/>
      <c r="N420" s="178"/>
      <c r="O420" s="178"/>
      <c r="P420" s="178"/>
      <c r="Q420" s="178"/>
      <c r="R420" s="178"/>
      <c r="S420" s="178"/>
      <c r="T420" s="178"/>
      <c r="U420" s="178"/>
      <c r="V420" s="410"/>
      <c r="Z420" s="178"/>
      <c r="AA420" s="178"/>
      <c r="AB420" s="178"/>
      <c r="AC420" s="178"/>
      <c r="AD420" s="178"/>
      <c r="AE420" s="178"/>
      <c r="AF420" s="178"/>
      <c r="AG420" s="178"/>
      <c r="AH420" s="178"/>
      <c r="AI420" s="178"/>
      <c r="AJ420" s="178"/>
      <c r="AK420" s="178"/>
      <c r="AL420" s="178"/>
      <c r="AM420" s="178"/>
      <c r="AN420" s="178"/>
      <c r="AO420" s="178"/>
      <c r="AP420" s="178"/>
      <c r="AQ420" s="178"/>
      <c r="AR420" s="178"/>
      <c r="AS420" s="178"/>
    </row>
    <row r="421" spans="1:45" s="21" customFormat="1" x14ac:dyDescent="0.4">
      <c r="A421" s="27"/>
      <c r="B421" s="645"/>
      <c r="C421" s="645"/>
      <c r="D421" s="131"/>
      <c r="F421" s="178"/>
      <c r="G421" s="178"/>
      <c r="H421" s="127"/>
      <c r="I421" s="178"/>
      <c r="J421" s="178"/>
      <c r="K421" s="178"/>
      <c r="L421" s="178"/>
      <c r="M421" s="178"/>
      <c r="N421" s="178"/>
      <c r="O421" s="178"/>
      <c r="P421" s="178"/>
      <c r="Q421" s="178"/>
      <c r="R421" s="178"/>
      <c r="S421" s="178"/>
      <c r="T421" s="178"/>
      <c r="U421" s="178"/>
      <c r="V421" s="410"/>
      <c r="Z421" s="178"/>
      <c r="AA421" s="178"/>
      <c r="AB421" s="178"/>
      <c r="AC421" s="178"/>
      <c r="AD421" s="178"/>
      <c r="AE421" s="178"/>
      <c r="AF421" s="178"/>
      <c r="AG421" s="178"/>
      <c r="AH421" s="178"/>
      <c r="AI421" s="178"/>
      <c r="AJ421" s="178"/>
      <c r="AK421" s="178"/>
      <c r="AL421" s="178"/>
      <c r="AM421" s="178"/>
      <c r="AN421" s="178"/>
      <c r="AO421" s="178"/>
      <c r="AP421" s="178"/>
      <c r="AQ421" s="178"/>
      <c r="AR421" s="178"/>
      <c r="AS421" s="178"/>
    </row>
    <row r="422" spans="1:45" s="21" customFormat="1" x14ac:dyDescent="0.4">
      <c r="A422" s="27"/>
      <c r="B422" s="645"/>
      <c r="C422" s="645"/>
      <c r="D422" s="131"/>
      <c r="F422" s="178"/>
      <c r="G422" s="178"/>
      <c r="H422" s="127"/>
      <c r="I422" s="178"/>
      <c r="J422" s="178"/>
      <c r="K422" s="178"/>
      <c r="L422" s="178"/>
      <c r="M422" s="178"/>
      <c r="N422" s="178"/>
      <c r="O422" s="178"/>
      <c r="P422" s="178"/>
      <c r="Q422" s="178"/>
      <c r="R422" s="178"/>
      <c r="S422" s="178"/>
      <c r="T422" s="178"/>
      <c r="U422" s="178"/>
      <c r="V422" s="410"/>
      <c r="Z422" s="178"/>
      <c r="AA422" s="178"/>
      <c r="AB422" s="178"/>
      <c r="AC422" s="178"/>
      <c r="AD422" s="178"/>
      <c r="AE422" s="178"/>
      <c r="AF422" s="178"/>
      <c r="AG422" s="178"/>
      <c r="AH422" s="178"/>
      <c r="AI422" s="178"/>
      <c r="AJ422" s="178"/>
      <c r="AK422" s="178"/>
      <c r="AL422" s="178"/>
      <c r="AM422" s="178"/>
      <c r="AN422" s="178"/>
      <c r="AO422" s="178"/>
      <c r="AP422" s="178"/>
      <c r="AQ422" s="178"/>
      <c r="AR422" s="178"/>
      <c r="AS422" s="178"/>
    </row>
    <row r="423" spans="1:45" s="21" customFormat="1" x14ac:dyDescent="0.4">
      <c r="A423" s="27"/>
      <c r="B423" s="645"/>
      <c r="C423" s="645"/>
      <c r="D423" s="131"/>
      <c r="F423" s="178"/>
      <c r="G423" s="178"/>
      <c r="H423" s="127"/>
      <c r="I423" s="178"/>
      <c r="J423" s="178"/>
      <c r="K423" s="178"/>
      <c r="L423" s="178"/>
      <c r="M423" s="178"/>
      <c r="N423" s="178"/>
      <c r="O423" s="178"/>
      <c r="P423" s="178"/>
      <c r="Q423" s="178"/>
      <c r="R423" s="178"/>
      <c r="S423" s="178"/>
      <c r="T423" s="178"/>
      <c r="U423" s="178"/>
      <c r="V423" s="410"/>
      <c r="Z423" s="178"/>
      <c r="AA423" s="178"/>
      <c r="AB423" s="178"/>
      <c r="AC423" s="178"/>
      <c r="AD423" s="178"/>
      <c r="AE423" s="178"/>
      <c r="AF423" s="178"/>
      <c r="AG423" s="178"/>
      <c r="AH423" s="178"/>
      <c r="AI423" s="178"/>
      <c r="AJ423" s="178"/>
      <c r="AK423" s="178"/>
      <c r="AL423" s="178"/>
      <c r="AM423" s="178"/>
      <c r="AN423" s="178"/>
      <c r="AO423" s="178"/>
      <c r="AP423" s="178"/>
      <c r="AQ423" s="178"/>
      <c r="AR423" s="178"/>
      <c r="AS423" s="178"/>
    </row>
    <row r="424" spans="1:45" s="21" customFormat="1" x14ac:dyDescent="0.4">
      <c r="A424" s="27"/>
      <c r="B424" s="645"/>
      <c r="C424" s="645"/>
      <c r="D424" s="131"/>
      <c r="F424" s="178"/>
      <c r="G424" s="178"/>
      <c r="H424" s="127"/>
      <c r="I424" s="178"/>
      <c r="J424" s="178"/>
      <c r="K424" s="178"/>
      <c r="L424" s="178"/>
      <c r="M424" s="178"/>
      <c r="N424" s="178"/>
      <c r="O424" s="178"/>
      <c r="P424" s="178"/>
      <c r="Q424" s="178"/>
      <c r="R424" s="178"/>
      <c r="S424" s="178"/>
      <c r="T424" s="178"/>
      <c r="U424" s="178"/>
      <c r="V424" s="410"/>
      <c r="Z424" s="178"/>
      <c r="AA424" s="178"/>
      <c r="AB424" s="178"/>
      <c r="AC424" s="178"/>
      <c r="AD424" s="178"/>
      <c r="AE424" s="178"/>
      <c r="AF424" s="178"/>
      <c r="AG424" s="178"/>
      <c r="AH424" s="178"/>
      <c r="AI424" s="178"/>
      <c r="AJ424" s="178"/>
      <c r="AK424" s="178"/>
      <c r="AL424" s="178"/>
      <c r="AM424" s="178"/>
      <c r="AN424" s="178"/>
      <c r="AO424" s="178"/>
      <c r="AP424" s="178"/>
      <c r="AQ424" s="178"/>
      <c r="AR424" s="178"/>
      <c r="AS424" s="178"/>
    </row>
    <row r="425" spans="1:45" s="21" customFormat="1" x14ac:dyDescent="0.4">
      <c r="A425" s="27"/>
      <c r="B425" s="645"/>
      <c r="C425" s="645"/>
      <c r="D425" s="131"/>
      <c r="F425" s="178"/>
      <c r="G425" s="178"/>
      <c r="H425" s="127"/>
      <c r="I425" s="178"/>
      <c r="J425" s="178"/>
      <c r="K425" s="178"/>
      <c r="L425" s="178"/>
      <c r="M425" s="178"/>
      <c r="N425" s="178"/>
      <c r="O425" s="178"/>
      <c r="P425" s="178"/>
      <c r="Q425" s="178"/>
      <c r="R425" s="178"/>
      <c r="S425" s="178"/>
      <c r="T425" s="178"/>
      <c r="U425" s="178"/>
      <c r="V425" s="410"/>
      <c r="Z425" s="178"/>
      <c r="AA425" s="178"/>
      <c r="AB425" s="178"/>
      <c r="AC425" s="178"/>
      <c r="AD425" s="178"/>
      <c r="AE425" s="178"/>
      <c r="AF425" s="178"/>
      <c r="AG425" s="178"/>
      <c r="AH425" s="178"/>
      <c r="AI425" s="178"/>
      <c r="AJ425" s="178"/>
      <c r="AK425" s="178"/>
      <c r="AL425" s="178"/>
      <c r="AM425" s="178"/>
      <c r="AN425" s="178"/>
      <c r="AO425" s="178"/>
      <c r="AP425" s="178"/>
      <c r="AQ425" s="178"/>
      <c r="AR425" s="178"/>
      <c r="AS425" s="178"/>
    </row>
    <row r="426" spans="1:45" s="21" customFormat="1" x14ac:dyDescent="0.4">
      <c r="A426" s="27"/>
      <c r="B426" s="645"/>
      <c r="C426" s="645"/>
      <c r="D426" s="131"/>
      <c r="F426" s="178"/>
      <c r="G426" s="178"/>
      <c r="H426" s="127"/>
      <c r="I426" s="178"/>
      <c r="J426" s="178"/>
      <c r="K426" s="178"/>
      <c r="L426" s="178"/>
      <c r="M426" s="178"/>
      <c r="N426" s="178"/>
      <c r="O426" s="178"/>
      <c r="P426" s="178"/>
      <c r="Q426" s="178"/>
      <c r="R426" s="178"/>
      <c r="S426" s="178"/>
      <c r="T426" s="178"/>
      <c r="U426" s="178"/>
      <c r="V426" s="410"/>
      <c r="Z426" s="178"/>
      <c r="AA426" s="178"/>
      <c r="AB426" s="178"/>
      <c r="AC426" s="178"/>
      <c r="AD426" s="178"/>
      <c r="AE426" s="178"/>
      <c r="AF426" s="178"/>
      <c r="AG426" s="178"/>
      <c r="AH426" s="178"/>
      <c r="AI426" s="178"/>
      <c r="AJ426" s="178"/>
      <c r="AK426" s="178"/>
      <c r="AL426" s="178"/>
      <c r="AM426" s="178"/>
      <c r="AN426" s="178"/>
      <c r="AO426" s="178"/>
      <c r="AP426" s="178"/>
      <c r="AQ426" s="178"/>
      <c r="AR426" s="178"/>
      <c r="AS426" s="178"/>
    </row>
    <row r="427" spans="1:45" s="21" customFormat="1" x14ac:dyDescent="0.4">
      <c r="A427" s="27"/>
      <c r="B427" s="645"/>
      <c r="C427" s="645"/>
      <c r="D427" s="131"/>
      <c r="F427" s="178"/>
      <c r="G427" s="178"/>
      <c r="H427" s="127"/>
      <c r="I427" s="178"/>
      <c r="J427" s="178"/>
      <c r="K427" s="178"/>
      <c r="L427" s="178"/>
      <c r="M427" s="178"/>
      <c r="N427" s="178"/>
      <c r="O427" s="178"/>
      <c r="P427" s="178"/>
      <c r="Q427" s="178"/>
      <c r="R427" s="178"/>
      <c r="S427" s="178"/>
      <c r="T427" s="178"/>
      <c r="U427" s="178"/>
      <c r="V427" s="410"/>
      <c r="Z427" s="178"/>
      <c r="AA427" s="178"/>
      <c r="AB427" s="178"/>
      <c r="AC427" s="178"/>
      <c r="AD427" s="178"/>
      <c r="AE427" s="178"/>
      <c r="AF427" s="178"/>
      <c r="AG427" s="178"/>
      <c r="AH427" s="178"/>
      <c r="AI427" s="178"/>
      <c r="AJ427" s="178"/>
      <c r="AK427" s="178"/>
      <c r="AL427" s="178"/>
      <c r="AM427" s="178"/>
      <c r="AN427" s="178"/>
      <c r="AO427" s="178"/>
      <c r="AP427" s="178"/>
      <c r="AQ427" s="178"/>
      <c r="AR427" s="178"/>
      <c r="AS427" s="178"/>
    </row>
    <row r="428" spans="1:45" s="21" customFormat="1" x14ac:dyDescent="0.4">
      <c r="A428" s="27"/>
      <c r="B428" s="645"/>
      <c r="C428" s="645"/>
      <c r="D428" s="131"/>
      <c r="F428" s="178"/>
      <c r="G428" s="178"/>
      <c r="H428" s="127"/>
      <c r="I428" s="178"/>
      <c r="J428" s="178"/>
      <c r="K428" s="178"/>
      <c r="L428" s="178"/>
      <c r="M428" s="178"/>
      <c r="N428" s="178"/>
      <c r="O428" s="178"/>
      <c r="P428" s="178"/>
      <c r="Q428" s="178"/>
      <c r="R428" s="178"/>
      <c r="S428" s="178"/>
      <c r="T428" s="178"/>
      <c r="U428" s="178"/>
      <c r="V428" s="410"/>
      <c r="Z428" s="178"/>
      <c r="AA428" s="178"/>
      <c r="AB428" s="178"/>
      <c r="AC428" s="178"/>
      <c r="AD428" s="178"/>
      <c r="AE428" s="178"/>
      <c r="AF428" s="178"/>
      <c r="AG428" s="178"/>
      <c r="AH428" s="178"/>
      <c r="AI428" s="178"/>
      <c r="AJ428" s="178"/>
      <c r="AK428" s="178"/>
      <c r="AL428" s="178"/>
      <c r="AM428" s="178"/>
      <c r="AN428" s="178"/>
      <c r="AO428" s="178"/>
      <c r="AP428" s="178"/>
      <c r="AQ428" s="178"/>
      <c r="AR428" s="178"/>
      <c r="AS428" s="178"/>
    </row>
    <row r="429" spans="1:45" s="21" customFormat="1" x14ac:dyDescent="0.4">
      <c r="A429" s="27"/>
      <c r="B429" s="645"/>
      <c r="C429" s="645"/>
      <c r="D429" s="131"/>
      <c r="F429" s="178"/>
      <c r="G429" s="178"/>
      <c r="H429" s="127"/>
      <c r="I429" s="178"/>
      <c r="J429" s="178"/>
      <c r="K429" s="178"/>
      <c r="L429" s="178"/>
      <c r="M429" s="178"/>
      <c r="N429" s="178"/>
      <c r="O429" s="178"/>
      <c r="P429" s="178"/>
      <c r="Q429" s="178"/>
      <c r="R429" s="178"/>
      <c r="S429" s="178"/>
      <c r="T429" s="178"/>
      <c r="U429" s="178"/>
      <c r="V429" s="410"/>
      <c r="Z429" s="178"/>
      <c r="AA429" s="178"/>
      <c r="AB429" s="178"/>
      <c r="AC429" s="178"/>
      <c r="AD429" s="178"/>
      <c r="AE429" s="178"/>
      <c r="AF429" s="178"/>
      <c r="AG429" s="178"/>
      <c r="AH429" s="178"/>
      <c r="AI429" s="178"/>
      <c r="AJ429" s="178"/>
      <c r="AK429" s="178"/>
      <c r="AL429" s="178"/>
      <c r="AM429" s="178"/>
      <c r="AN429" s="178"/>
      <c r="AO429" s="178"/>
      <c r="AP429" s="178"/>
      <c r="AQ429" s="178"/>
      <c r="AR429" s="178"/>
      <c r="AS429" s="178"/>
    </row>
    <row r="430" spans="1:45" s="21" customFormat="1" x14ac:dyDescent="0.4">
      <c r="A430" s="27"/>
      <c r="B430" s="645"/>
      <c r="C430" s="645"/>
      <c r="D430" s="131"/>
      <c r="F430" s="178"/>
      <c r="G430" s="178"/>
      <c r="H430" s="127"/>
      <c r="I430" s="178"/>
      <c r="J430" s="178"/>
      <c r="K430" s="178"/>
      <c r="L430" s="178"/>
      <c r="M430" s="178"/>
      <c r="N430" s="178"/>
      <c r="O430" s="178"/>
      <c r="P430" s="178"/>
      <c r="Q430" s="178"/>
      <c r="R430" s="178"/>
      <c r="S430" s="178"/>
      <c r="T430" s="178"/>
      <c r="U430" s="178"/>
      <c r="V430" s="410"/>
      <c r="Z430" s="178"/>
      <c r="AA430" s="178"/>
      <c r="AB430" s="178"/>
      <c r="AC430" s="178"/>
      <c r="AD430" s="178"/>
      <c r="AE430" s="178"/>
      <c r="AF430" s="178"/>
      <c r="AG430" s="178"/>
      <c r="AH430" s="178"/>
      <c r="AI430" s="178"/>
      <c r="AJ430" s="178"/>
      <c r="AK430" s="178"/>
      <c r="AL430" s="178"/>
      <c r="AM430" s="178"/>
      <c r="AN430" s="178"/>
      <c r="AO430" s="178"/>
      <c r="AP430" s="178"/>
      <c r="AQ430" s="178"/>
      <c r="AR430" s="178"/>
      <c r="AS430" s="178"/>
    </row>
    <row r="431" spans="1:45" s="21" customFormat="1" x14ac:dyDescent="0.4">
      <c r="A431" s="27"/>
      <c r="B431" s="645"/>
      <c r="C431" s="645"/>
      <c r="D431" s="131"/>
      <c r="F431" s="178"/>
      <c r="G431" s="178"/>
      <c r="H431" s="127"/>
      <c r="I431" s="178"/>
      <c r="J431" s="178"/>
      <c r="K431" s="178"/>
      <c r="L431" s="178"/>
      <c r="M431" s="178"/>
      <c r="N431" s="178"/>
      <c r="O431" s="178"/>
      <c r="P431" s="178"/>
      <c r="Q431" s="178"/>
      <c r="R431" s="178"/>
      <c r="S431" s="178"/>
      <c r="T431" s="178"/>
      <c r="U431" s="178"/>
      <c r="V431" s="410"/>
      <c r="Z431" s="178"/>
      <c r="AA431" s="178"/>
      <c r="AB431" s="178"/>
      <c r="AC431" s="178"/>
      <c r="AD431" s="178"/>
      <c r="AE431" s="178"/>
      <c r="AF431" s="178"/>
      <c r="AG431" s="178"/>
      <c r="AH431" s="178"/>
      <c r="AI431" s="178"/>
      <c r="AJ431" s="178"/>
      <c r="AK431" s="178"/>
      <c r="AL431" s="178"/>
      <c r="AM431" s="178"/>
      <c r="AN431" s="178"/>
      <c r="AO431" s="178"/>
      <c r="AP431" s="178"/>
      <c r="AQ431" s="178"/>
      <c r="AR431" s="178"/>
      <c r="AS431" s="178"/>
    </row>
    <row r="432" spans="1:45" s="21" customFormat="1" x14ac:dyDescent="0.4">
      <c r="A432" s="27"/>
      <c r="B432" s="645"/>
      <c r="C432" s="645"/>
      <c r="D432" s="131"/>
      <c r="F432" s="178"/>
      <c r="G432" s="178"/>
      <c r="H432" s="127"/>
      <c r="I432" s="178"/>
      <c r="J432" s="178"/>
      <c r="K432" s="178"/>
      <c r="L432" s="178"/>
      <c r="M432" s="178"/>
      <c r="N432" s="178"/>
      <c r="O432" s="178"/>
      <c r="P432" s="178"/>
      <c r="Q432" s="178"/>
      <c r="R432" s="178"/>
      <c r="S432" s="178"/>
      <c r="T432" s="178"/>
      <c r="U432" s="178"/>
      <c r="V432" s="410"/>
      <c r="Z432" s="178"/>
      <c r="AA432" s="178"/>
      <c r="AB432" s="178"/>
      <c r="AC432" s="178"/>
      <c r="AD432" s="178"/>
      <c r="AE432" s="178"/>
      <c r="AF432" s="178"/>
      <c r="AG432" s="178"/>
      <c r="AH432" s="178"/>
      <c r="AI432" s="178"/>
      <c r="AJ432" s="178"/>
      <c r="AK432" s="178"/>
      <c r="AL432" s="178"/>
      <c r="AM432" s="178"/>
      <c r="AN432" s="178"/>
      <c r="AO432" s="178"/>
      <c r="AP432" s="178"/>
      <c r="AQ432" s="178"/>
      <c r="AR432" s="178"/>
      <c r="AS432" s="178"/>
    </row>
    <row r="433" spans="1:45" s="738" customFormat="1" ht="27" customHeight="1" x14ac:dyDescent="0.4">
      <c r="A433" s="737"/>
      <c r="B433" s="737"/>
      <c r="C433" s="737"/>
      <c r="E433" s="739" t="str">
        <f>UPPER('Talnagögn | Numerical Data'!$E$14)</f>
        <v>LOSUNARSPÁ: SVIÐSMYND BYGGÐ Á AÐGERÐUM STJÓRNVALDA</v>
      </c>
      <c r="F433" s="740"/>
      <c r="G433" s="740"/>
      <c r="H433" s="740"/>
      <c r="I433" s="740"/>
      <c r="J433" s="740"/>
      <c r="K433" s="740"/>
      <c r="L433" s="740"/>
      <c r="M433" s="740"/>
      <c r="N433" s="740"/>
      <c r="O433" s="740"/>
      <c r="P433" s="740"/>
      <c r="Q433" s="740"/>
      <c r="R433" s="740"/>
      <c r="S433" s="740"/>
      <c r="T433" s="740"/>
      <c r="U433" s="740"/>
      <c r="V433" s="741"/>
      <c r="Y433" s="739" t="str">
        <f>UPPER('Talnagögn | Numerical Data'!$G$14)</f>
        <v>EMISSION PROJECTIONS: GOVERNMENT POLICY-BASED SCENARIO</v>
      </c>
      <c r="Z433" s="740"/>
      <c r="AA433" s="740"/>
      <c r="AB433" s="740"/>
      <c r="AC433" s="740"/>
      <c r="AD433" s="740"/>
      <c r="AE433" s="740"/>
      <c r="AF433" s="740"/>
      <c r="AG433" s="740"/>
      <c r="AH433" s="740"/>
      <c r="AI433" s="740"/>
      <c r="AJ433" s="740"/>
      <c r="AK433" s="740"/>
      <c r="AL433" s="740"/>
      <c r="AM433" s="740"/>
      <c r="AN433" s="740"/>
      <c r="AO433" s="740"/>
      <c r="AP433" s="740"/>
      <c r="AQ433" s="740"/>
      <c r="AR433" s="740"/>
      <c r="AS433" s="740"/>
    </row>
    <row r="434" spans="1:45" s="21" customFormat="1" x14ac:dyDescent="0.4">
      <c r="A434" s="27"/>
      <c r="B434" s="645"/>
      <c r="C434" s="645"/>
      <c r="D434" s="131" t="s">
        <v>44</v>
      </c>
      <c r="F434" s="178"/>
      <c r="G434" s="178"/>
      <c r="H434" s="127"/>
      <c r="I434" s="178"/>
      <c r="J434" s="178"/>
      <c r="K434" s="178"/>
      <c r="L434" s="178"/>
      <c r="M434" s="178"/>
      <c r="N434" s="178"/>
      <c r="O434" s="178"/>
      <c r="P434" s="178"/>
      <c r="Q434" s="178"/>
      <c r="R434" s="178"/>
      <c r="S434" s="178"/>
      <c r="T434" s="178"/>
      <c r="U434" s="178"/>
      <c r="V434" s="410"/>
      <c r="Z434" s="178"/>
      <c r="AA434" s="178"/>
      <c r="AB434" s="178"/>
      <c r="AC434" s="178"/>
      <c r="AD434" s="178"/>
      <c r="AE434" s="178"/>
      <c r="AF434" s="178"/>
      <c r="AG434" s="178"/>
      <c r="AH434" s="178"/>
      <c r="AI434" s="178"/>
      <c r="AJ434" s="178"/>
      <c r="AK434" s="178"/>
      <c r="AL434" s="178"/>
      <c r="AM434" s="178"/>
      <c r="AN434" s="178"/>
      <c r="AO434" s="178"/>
      <c r="AP434" s="178"/>
      <c r="AQ434" s="178"/>
      <c r="AR434" s="178"/>
      <c r="AS434" s="178"/>
    </row>
    <row r="435" spans="1:45" s="21" customFormat="1" x14ac:dyDescent="0.4">
      <c r="A435" s="27"/>
      <c r="B435" s="645"/>
      <c r="C435" s="645"/>
      <c r="D435" s="131" t="s">
        <v>44</v>
      </c>
      <c r="F435" s="178"/>
      <c r="G435" s="178"/>
      <c r="H435" s="127"/>
      <c r="I435" s="178"/>
      <c r="J435" s="178"/>
      <c r="K435" s="178"/>
      <c r="L435" s="178"/>
      <c r="M435" s="178"/>
      <c r="N435" s="178"/>
      <c r="O435" s="178"/>
      <c r="P435" s="178"/>
      <c r="Q435" s="178"/>
      <c r="R435" s="178"/>
      <c r="S435" s="178"/>
      <c r="T435" s="178"/>
      <c r="U435" s="178"/>
      <c r="V435" s="410"/>
      <c r="Z435" s="178"/>
      <c r="AA435" s="178"/>
      <c r="AB435" s="178"/>
      <c r="AC435" s="178"/>
      <c r="AD435" s="178"/>
      <c r="AE435" s="178"/>
      <c r="AF435" s="178"/>
      <c r="AG435" s="178"/>
      <c r="AH435" s="178"/>
      <c r="AI435" s="178"/>
      <c r="AJ435" s="178"/>
      <c r="AK435" s="178"/>
      <c r="AL435" s="178"/>
      <c r="AM435" s="178"/>
      <c r="AN435" s="178"/>
      <c r="AO435" s="178"/>
      <c r="AP435" s="178"/>
      <c r="AQ435" s="178"/>
      <c r="AR435" s="178"/>
      <c r="AS435" s="178"/>
    </row>
    <row r="436" spans="1:45" s="21" customFormat="1" x14ac:dyDescent="0.4">
      <c r="A436" s="27"/>
      <c r="B436" s="645"/>
      <c r="C436" s="645"/>
      <c r="D436" s="131"/>
      <c r="F436" s="178"/>
      <c r="G436" s="178"/>
      <c r="H436" s="127"/>
      <c r="I436" s="178"/>
      <c r="J436" s="178"/>
      <c r="K436" s="178"/>
      <c r="L436" s="178"/>
      <c r="M436" s="178"/>
      <c r="N436" s="178"/>
      <c r="O436" s="178"/>
      <c r="P436" s="178"/>
      <c r="Q436" s="178"/>
      <c r="R436" s="178"/>
      <c r="S436" s="178"/>
      <c r="T436" s="178"/>
      <c r="U436" s="178"/>
      <c r="V436" s="410"/>
      <c r="Z436" s="178"/>
      <c r="AA436" s="178"/>
      <c r="AB436" s="178"/>
      <c r="AC436" s="178"/>
      <c r="AD436" s="178"/>
      <c r="AE436" s="178"/>
      <c r="AF436" s="178"/>
      <c r="AG436" s="178"/>
      <c r="AH436" s="178"/>
      <c r="AI436" s="178"/>
      <c r="AJ436" s="178"/>
      <c r="AK436" s="178"/>
      <c r="AL436" s="178"/>
      <c r="AM436" s="178"/>
      <c r="AN436" s="178"/>
      <c r="AO436" s="178"/>
      <c r="AP436" s="178"/>
      <c r="AQ436" s="178"/>
      <c r="AR436" s="178"/>
      <c r="AS436" s="178"/>
    </row>
    <row r="437" spans="1:45" s="21" customFormat="1" x14ac:dyDescent="0.4">
      <c r="A437" s="27"/>
      <c r="B437" s="645"/>
      <c r="C437" s="645"/>
      <c r="D437" s="131"/>
      <c r="F437" s="178"/>
      <c r="G437" s="178"/>
      <c r="H437" s="127"/>
      <c r="I437" s="178"/>
      <c r="J437" s="178"/>
      <c r="K437" s="178"/>
      <c r="L437" s="178"/>
      <c r="M437" s="178"/>
      <c r="N437" s="178"/>
      <c r="O437" s="178"/>
      <c r="P437" s="178"/>
      <c r="Q437" s="178"/>
      <c r="R437" s="178"/>
      <c r="S437" s="178"/>
      <c r="T437" s="178"/>
      <c r="U437" s="178"/>
      <c r="V437" s="410"/>
      <c r="Z437" s="178"/>
      <c r="AA437" s="178"/>
      <c r="AB437" s="178"/>
      <c r="AC437" s="178"/>
      <c r="AD437" s="178"/>
      <c r="AE437" s="178"/>
      <c r="AF437" s="178"/>
      <c r="AG437" s="178"/>
      <c r="AH437" s="178"/>
      <c r="AI437" s="178"/>
      <c r="AJ437" s="178"/>
      <c r="AK437" s="178"/>
      <c r="AL437" s="178"/>
      <c r="AM437" s="178"/>
      <c r="AN437" s="178"/>
      <c r="AO437" s="178"/>
      <c r="AP437" s="178"/>
      <c r="AQ437" s="178"/>
      <c r="AR437" s="178"/>
      <c r="AS437" s="178"/>
    </row>
    <row r="438" spans="1:45" s="21" customFormat="1" x14ac:dyDescent="0.4">
      <c r="A438" s="27"/>
      <c r="B438" s="645"/>
      <c r="C438" s="645"/>
      <c r="D438" s="131"/>
      <c r="F438" s="178"/>
      <c r="G438" s="178"/>
      <c r="H438" s="127"/>
      <c r="I438" s="178"/>
      <c r="J438" s="178"/>
      <c r="K438" s="178"/>
      <c r="L438" s="178"/>
      <c r="M438" s="178"/>
      <c r="N438" s="178"/>
      <c r="O438" s="178"/>
      <c r="P438" s="178"/>
      <c r="Q438" s="178"/>
      <c r="R438" s="178"/>
      <c r="S438" s="178"/>
      <c r="T438" s="178"/>
      <c r="U438" s="178"/>
      <c r="V438" s="410"/>
      <c r="Z438" s="178"/>
      <c r="AA438" s="178"/>
      <c r="AB438" s="178"/>
      <c r="AC438" s="178"/>
      <c r="AD438" s="178"/>
      <c r="AE438" s="178"/>
      <c r="AF438" s="178"/>
      <c r="AG438" s="178"/>
      <c r="AH438" s="178"/>
      <c r="AI438" s="178"/>
      <c r="AJ438" s="178"/>
      <c r="AK438" s="178"/>
      <c r="AL438" s="178"/>
      <c r="AM438" s="178"/>
      <c r="AN438" s="178"/>
      <c r="AO438" s="178"/>
      <c r="AP438" s="178"/>
      <c r="AQ438" s="178"/>
      <c r="AR438" s="178"/>
      <c r="AS438" s="178"/>
    </row>
    <row r="439" spans="1:45" s="21" customFormat="1" x14ac:dyDescent="0.4">
      <c r="A439" s="27"/>
      <c r="B439" s="645"/>
      <c r="C439" s="645"/>
      <c r="D439" s="131"/>
      <c r="F439" s="178"/>
      <c r="G439" s="178"/>
      <c r="H439" s="127"/>
      <c r="I439" s="178"/>
      <c r="J439" s="178"/>
      <c r="K439" s="178"/>
      <c r="L439" s="178"/>
      <c r="M439" s="178"/>
      <c r="N439" s="178"/>
      <c r="O439" s="178"/>
      <c r="P439" s="178"/>
      <c r="Q439" s="178"/>
      <c r="R439" s="178"/>
      <c r="S439" s="178"/>
      <c r="T439" s="178"/>
      <c r="U439" s="178"/>
      <c r="V439" s="410"/>
      <c r="Z439" s="178"/>
      <c r="AA439" s="178"/>
      <c r="AB439" s="178"/>
      <c r="AC439" s="178"/>
      <c r="AD439" s="178"/>
      <c r="AE439" s="178"/>
      <c r="AF439" s="178"/>
      <c r="AG439" s="178"/>
      <c r="AH439" s="178"/>
      <c r="AI439" s="178"/>
      <c r="AJ439" s="178"/>
      <c r="AK439" s="178"/>
      <c r="AL439" s="178"/>
      <c r="AM439" s="178"/>
      <c r="AN439" s="178"/>
      <c r="AO439" s="178"/>
      <c r="AP439" s="178"/>
      <c r="AQ439" s="178"/>
      <c r="AR439" s="178"/>
      <c r="AS439" s="178"/>
    </row>
    <row r="440" spans="1:45" s="21" customFormat="1" x14ac:dyDescent="0.4">
      <c r="A440" s="27"/>
      <c r="B440" s="645"/>
      <c r="C440" s="645"/>
      <c r="D440" s="131"/>
      <c r="F440" s="178"/>
      <c r="G440" s="178"/>
      <c r="H440" s="127"/>
      <c r="I440" s="178"/>
      <c r="J440" s="178"/>
      <c r="K440" s="178"/>
      <c r="L440" s="178"/>
      <c r="M440" s="178"/>
      <c r="N440" s="178"/>
      <c r="O440" s="178"/>
      <c r="P440" s="178"/>
      <c r="Q440" s="178"/>
      <c r="R440" s="178"/>
      <c r="S440" s="178"/>
      <c r="T440" s="178"/>
      <c r="U440" s="178"/>
      <c r="V440" s="410"/>
      <c r="Z440" s="178"/>
      <c r="AA440" s="178"/>
      <c r="AB440" s="178"/>
      <c r="AC440" s="178"/>
      <c r="AD440" s="178"/>
      <c r="AE440" s="178"/>
      <c r="AF440" s="178"/>
      <c r="AG440" s="178"/>
      <c r="AH440" s="178"/>
      <c r="AI440" s="178"/>
      <c r="AJ440" s="178"/>
      <c r="AK440" s="178"/>
      <c r="AL440" s="178"/>
      <c r="AM440" s="178"/>
      <c r="AN440" s="178"/>
      <c r="AO440" s="178"/>
      <c r="AP440" s="178"/>
      <c r="AQ440" s="178"/>
      <c r="AR440" s="178"/>
      <c r="AS440" s="178"/>
    </row>
    <row r="441" spans="1:45" s="21" customFormat="1" x14ac:dyDescent="0.4">
      <c r="A441" s="27"/>
      <c r="B441" s="645"/>
      <c r="C441" s="645"/>
      <c r="D441" s="131"/>
      <c r="F441" s="178"/>
      <c r="G441" s="178"/>
      <c r="H441" s="127"/>
      <c r="I441" s="178"/>
      <c r="J441" s="178"/>
      <c r="K441" s="178"/>
      <c r="L441" s="178"/>
      <c r="M441" s="178"/>
      <c r="N441" s="178"/>
      <c r="O441" s="178"/>
      <c r="P441" s="178"/>
      <c r="Q441" s="178"/>
      <c r="R441" s="178"/>
      <c r="S441" s="178"/>
      <c r="T441" s="178"/>
      <c r="U441" s="178"/>
      <c r="V441" s="410"/>
      <c r="Z441" s="178"/>
      <c r="AA441" s="178"/>
      <c r="AB441" s="178"/>
      <c r="AC441" s="178"/>
      <c r="AD441" s="178"/>
      <c r="AE441" s="178"/>
      <c r="AF441" s="178"/>
      <c r="AG441" s="178"/>
      <c r="AH441" s="178"/>
      <c r="AI441" s="178"/>
      <c r="AJ441" s="178"/>
      <c r="AK441" s="178"/>
      <c r="AL441" s="178"/>
      <c r="AM441" s="178"/>
      <c r="AN441" s="178"/>
      <c r="AO441" s="178"/>
      <c r="AP441" s="178"/>
      <c r="AQ441" s="178"/>
      <c r="AR441" s="178"/>
      <c r="AS441" s="178"/>
    </row>
    <row r="442" spans="1:45" s="21" customFormat="1" x14ac:dyDescent="0.4">
      <c r="A442" s="27"/>
      <c r="B442" s="645"/>
      <c r="C442" s="645"/>
      <c r="D442" s="131"/>
      <c r="F442" s="178"/>
      <c r="G442" s="178"/>
      <c r="H442" s="127"/>
      <c r="I442" s="178"/>
      <c r="J442" s="178"/>
      <c r="K442" s="178"/>
      <c r="L442" s="178"/>
      <c r="M442" s="178"/>
      <c r="N442" s="178"/>
      <c r="O442" s="178"/>
      <c r="P442" s="178"/>
      <c r="Q442" s="178"/>
      <c r="R442" s="178"/>
      <c r="S442" s="178"/>
      <c r="T442" s="178"/>
      <c r="U442" s="178"/>
      <c r="V442" s="410"/>
      <c r="Z442" s="178"/>
      <c r="AA442" s="178"/>
      <c r="AB442" s="178"/>
      <c r="AC442" s="178"/>
      <c r="AD442" s="178"/>
      <c r="AE442" s="178"/>
      <c r="AF442" s="178"/>
      <c r="AG442" s="178"/>
      <c r="AH442" s="178"/>
      <c r="AI442" s="178"/>
      <c r="AJ442" s="178"/>
      <c r="AK442" s="178"/>
      <c r="AL442" s="178"/>
      <c r="AM442" s="178"/>
      <c r="AN442" s="178"/>
      <c r="AO442" s="178"/>
      <c r="AP442" s="178"/>
      <c r="AQ442" s="178"/>
      <c r="AR442" s="178"/>
      <c r="AS442" s="178"/>
    </row>
    <row r="443" spans="1:45" s="21" customFormat="1" x14ac:dyDescent="0.4">
      <c r="A443" s="27"/>
      <c r="B443" s="645"/>
      <c r="C443" s="645"/>
      <c r="D443" s="131"/>
      <c r="F443" s="178"/>
      <c r="G443" s="178"/>
      <c r="H443" s="127"/>
      <c r="I443" s="178"/>
      <c r="J443" s="178"/>
      <c r="K443" s="178"/>
      <c r="L443" s="178"/>
      <c r="M443" s="178"/>
      <c r="N443" s="178"/>
      <c r="O443" s="178"/>
      <c r="P443" s="178"/>
      <c r="Q443" s="178"/>
      <c r="R443" s="178"/>
      <c r="S443" s="178"/>
      <c r="T443" s="178"/>
      <c r="U443" s="178"/>
      <c r="V443" s="410"/>
      <c r="Z443" s="178"/>
      <c r="AA443" s="178"/>
      <c r="AB443" s="178"/>
      <c r="AC443" s="178"/>
      <c r="AD443" s="178"/>
      <c r="AE443" s="178"/>
      <c r="AF443" s="178"/>
      <c r="AG443" s="178"/>
      <c r="AH443" s="178"/>
      <c r="AI443" s="178"/>
      <c r="AJ443" s="178"/>
      <c r="AK443" s="178"/>
      <c r="AL443" s="178"/>
      <c r="AM443" s="178"/>
      <c r="AN443" s="178"/>
      <c r="AO443" s="178"/>
      <c r="AP443" s="178"/>
      <c r="AQ443" s="178"/>
      <c r="AR443" s="178"/>
      <c r="AS443" s="178"/>
    </row>
    <row r="444" spans="1:45" s="21" customFormat="1" x14ac:dyDescent="0.4">
      <c r="A444" s="27"/>
      <c r="B444" s="645"/>
      <c r="C444" s="645"/>
      <c r="D444" s="131"/>
      <c r="F444" s="178"/>
      <c r="G444" s="178"/>
      <c r="H444" s="127"/>
      <c r="I444" s="178"/>
      <c r="J444" s="178"/>
      <c r="K444" s="178"/>
      <c r="L444" s="178"/>
      <c r="M444" s="178"/>
      <c r="N444" s="178"/>
      <c r="O444" s="178"/>
      <c r="P444" s="178"/>
      <c r="Q444" s="178"/>
      <c r="R444" s="178"/>
      <c r="S444" s="178"/>
      <c r="T444" s="178"/>
      <c r="U444" s="178"/>
      <c r="V444" s="410"/>
      <c r="Z444" s="178"/>
      <c r="AA444" s="178"/>
      <c r="AB444" s="178"/>
      <c r="AC444" s="178"/>
      <c r="AD444" s="178"/>
      <c r="AE444" s="178"/>
      <c r="AF444" s="178"/>
      <c r="AG444" s="178"/>
      <c r="AH444" s="178"/>
      <c r="AI444" s="178"/>
      <c r="AJ444" s="178"/>
      <c r="AK444" s="178"/>
      <c r="AL444" s="178"/>
      <c r="AM444" s="178"/>
      <c r="AN444" s="178"/>
      <c r="AO444" s="178"/>
      <c r="AP444" s="178"/>
      <c r="AQ444" s="178"/>
      <c r="AR444" s="178"/>
      <c r="AS444" s="178"/>
    </row>
    <row r="445" spans="1:45" s="21" customFormat="1" x14ac:dyDescent="0.4">
      <c r="A445" s="27"/>
      <c r="B445" s="645"/>
      <c r="C445" s="645"/>
      <c r="D445" s="131"/>
      <c r="F445" s="178"/>
      <c r="G445" s="178"/>
      <c r="H445" s="127"/>
      <c r="I445" s="178"/>
      <c r="J445" s="178"/>
      <c r="K445" s="178"/>
      <c r="L445" s="178"/>
      <c r="M445" s="178"/>
      <c r="N445" s="178"/>
      <c r="O445" s="178"/>
      <c r="P445" s="178"/>
      <c r="Q445" s="178"/>
      <c r="R445" s="178"/>
      <c r="S445" s="178"/>
      <c r="T445" s="178"/>
      <c r="U445" s="178"/>
      <c r="V445" s="410"/>
      <c r="Z445" s="178"/>
      <c r="AA445" s="178"/>
      <c r="AB445" s="178"/>
      <c r="AC445" s="178"/>
      <c r="AD445" s="178"/>
      <c r="AE445" s="178"/>
      <c r="AF445" s="178"/>
      <c r="AG445" s="178"/>
      <c r="AH445" s="178"/>
      <c r="AI445" s="178"/>
      <c r="AJ445" s="178"/>
      <c r="AK445" s="178"/>
      <c r="AL445" s="178"/>
      <c r="AM445" s="178"/>
      <c r="AN445" s="178"/>
      <c r="AO445" s="178"/>
      <c r="AP445" s="178"/>
      <c r="AQ445" s="178"/>
      <c r="AR445" s="178"/>
      <c r="AS445" s="178"/>
    </row>
    <row r="446" spans="1:45" s="21" customFormat="1" x14ac:dyDescent="0.4">
      <c r="A446" s="27"/>
      <c r="B446" s="645"/>
      <c r="C446" s="645"/>
      <c r="D446" s="131"/>
      <c r="F446" s="178"/>
      <c r="G446" s="178"/>
      <c r="H446" s="127"/>
      <c r="I446" s="178"/>
      <c r="J446" s="178"/>
      <c r="K446" s="178"/>
      <c r="L446" s="178"/>
      <c r="M446" s="178"/>
      <c r="N446" s="178"/>
      <c r="O446" s="178"/>
      <c r="P446" s="178"/>
      <c r="Q446" s="178"/>
      <c r="R446" s="178"/>
      <c r="S446" s="178"/>
      <c r="T446" s="178"/>
      <c r="U446" s="178"/>
      <c r="V446" s="410"/>
      <c r="Z446" s="178"/>
      <c r="AA446" s="178"/>
      <c r="AB446" s="178"/>
      <c r="AC446" s="178"/>
      <c r="AD446" s="178"/>
      <c r="AE446" s="178"/>
      <c r="AF446" s="178"/>
      <c r="AG446" s="178"/>
      <c r="AH446" s="178"/>
      <c r="AI446" s="178"/>
      <c r="AJ446" s="178"/>
      <c r="AK446" s="178"/>
      <c r="AL446" s="178"/>
      <c r="AM446" s="178"/>
      <c r="AN446" s="178"/>
      <c r="AO446" s="178"/>
      <c r="AP446" s="178"/>
      <c r="AQ446" s="178"/>
      <c r="AR446" s="178"/>
      <c r="AS446" s="178"/>
    </row>
    <row r="447" spans="1:45" s="21" customFormat="1" x14ac:dyDescent="0.4">
      <c r="A447" s="27"/>
      <c r="B447" s="645"/>
      <c r="C447" s="645"/>
      <c r="D447" s="131"/>
      <c r="F447" s="178"/>
      <c r="G447" s="178"/>
      <c r="H447" s="127"/>
      <c r="I447" s="178"/>
      <c r="J447" s="178"/>
      <c r="K447" s="178"/>
      <c r="L447" s="178"/>
      <c r="M447" s="178"/>
      <c r="N447" s="178"/>
      <c r="O447" s="178"/>
      <c r="P447" s="178"/>
      <c r="Q447" s="178"/>
      <c r="R447" s="178"/>
      <c r="S447" s="178"/>
      <c r="T447" s="178"/>
      <c r="U447" s="178"/>
      <c r="V447" s="410"/>
      <c r="Z447" s="178"/>
      <c r="AA447" s="178"/>
      <c r="AB447" s="178"/>
      <c r="AC447" s="178"/>
      <c r="AD447" s="178"/>
      <c r="AE447" s="178"/>
      <c r="AF447" s="178"/>
      <c r="AG447" s="178"/>
      <c r="AH447" s="178"/>
      <c r="AI447" s="178"/>
      <c r="AJ447" s="178"/>
      <c r="AK447" s="178"/>
      <c r="AL447" s="178"/>
      <c r="AM447" s="178"/>
      <c r="AN447" s="178"/>
      <c r="AO447" s="178"/>
      <c r="AP447" s="178"/>
      <c r="AQ447" s="178"/>
      <c r="AR447" s="178"/>
      <c r="AS447" s="178"/>
    </row>
    <row r="448" spans="1:45" s="21" customFormat="1" x14ac:dyDescent="0.4">
      <c r="A448" s="27"/>
      <c r="B448" s="645"/>
      <c r="C448" s="645"/>
      <c r="D448" s="131"/>
      <c r="F448" s="178"/>
      <c r="G448" s="178"/>
      <c r="H448" s="127"/>
      <c r="I448" s="178"/>
      <c r="J448" s="178"/>
      <c r="K448" s="178"/>
      <c r="L448" s="178"/>
      <c r="M448" s="178"/>
      <c r="N448" s="178"/>
      <c r="O448" s="178"/>
      <c r="P448" s="178"/>
      <c r="Q448" s="178"/>
      <c r="R448" s="178"/>
      <c r="S448" s="178"/>
      <c r="T448" s="178"/>
      <c r="U448" s="178"/>
      <c r="V448" s="410"/>
      <c r="Z448" s="178"/>
      <c r="AA448" s="178"/>
      <c r="AB448" s="178"/>
      <c r="AC448" s="178"/>
      <c r="AD448" s="178"/>
      <c r="AE448" s="178"/>
      <c r="AF448" s="178"/>
      <c r="AG448" s="178"/>
      <c r="AH448" s="178"/>
      <c r="AI448" s="178"/>
      <c r="AJ448" s="178"/>
      <c r="AK448" s="178"/>
      <c r="AL448" s="178"/>
      <c r="AM448" s="178"/>
      <c r="AN448" s="178"/>
      <c r="AO448" s="178"/>
      <c r="AP448" s="178"/>
      <c r="AQ448" s="178"/>
      <c r="AR448" s="178"/>
      <c r="AS448" s="178"/>
    </row>
    <row r="449" spans="1:45" s="21" customFormat="1" x14ac:dyDescent="0.4">
      <c r="A449" s="27"/>
      <c r="B449" s="645"/>
      <c r="C449" s="645"/>
      <c r="D449" s="131"/>
      <c r="F449" s="178"/>
      <c r="G449" s="178"/>
      <c r="H449" s="127"/>
      <c r="I449" s="178"/>
      <c r="J449" s="178"/>
      <c r="K449" s="178"/>
      <c r="L449" s="178"/>
      <c r="M449" s="178"/>
      <c r="N449" s="178"/>
      <c r="O449" s="178"/>
      <c r="P449" s="178"/>
      <c r="Q449" s="178"/>
      <c r="R449" s="178"/>
      <c r="S449" s="178"/>
      <c r="T449" s="178"/>
      <c r="U449" s="178"/>
      <c r="V449" s="410"/>
      <c r="Z449" s="178"/>
      <c r="AA449" s="178"/>
      <c r="AB449" s="178"/>
      <c r="AC449" s="178"/>
      <c r="AD449" s="178"/>
      <c r="AE449" s="178"/>
      <c r="AF449" s="178"/>
      <c r="AG449" s="178"/>
      <c r="AH449" s="178"/>
      <c r="AI449" s="178"/>
      <c r="AJ449" s="178"/>
      <c r="AK449" s="178"/>
      <c r="AL449" s="178"/>
      <c r="AM449" s="178"/>
      <c r="AN449" s="178"/>
      <c r="AO449" s="178"/>
      <c r="AP449" s="178"/>
      <c r="AQ449" s="178"/>
      <c r="AR449" s="178"/>
      <c r="AS449" s="178"/>
    </row>
    <row r="450" spans="1:45" s="21" customFormat="1" x14ac:dyDescent="0.4">
      <c r="A450" s="27"/>
      <c r="B450" s="645"/>
      <c r="C450" s="645"/>
      <c r="D450" s="131"/>
      <c r="F450" s="178"/>
      <c r="G450" s="178"/>
      <c r="H450" s="127"/>
      <c r="I450" s="178"/>
      <c r="J450" s="178"/>
      <c r="K450" s="178"/>
      <c r="L450" s="178"/>
      <c r="M450" s="178"/>
      <c r="N450" s="178"/>
      <c r="O450" s="178"/>
      <c r="P450" s="178"/>
      <c r="Q450" s="178"/>
      <c r="R450" s="178"/>
      <c r="S450" s="178"/>
      <c r="T450" s="178"/>
      <c r="U450" s="178"/>
      <c r="V450" s="410"/>
      <c r="Z450" s="178"/>
      <c r="AA450" s="178"/>
      <c r="AB450" s="178"/>
      <c r="AC450" s="178"/>
      <c r="AD450" s="178"/>
      <c r="AE450" s="178"/>
      <c r="AF450" s="178"/>
      <c r="AG450" s="178"/>
      <c r="AH450" s="178"/>
      <c r="AI450" s="178"/>
      <c r="AJ450" s="178"/>
      <c r="AK450" s="178"/>
      <c r="AL450" s="178"/>
      <c r="AM450" s="178"/>
      <c r="AN450" s="178"/>
      <c r="AO450" s="178"/>
      <c r="AP450" s="178"/>
      <c r="AQ450" s="178"/>
      <c r="AR450" s="178"/>
      <c r="AS450" s="178"/>
    </row>
    <row r="451" spans="1:45" s="21" customFormat="1" x14ac:dyDescent="0.4">
      <c r="A451" s="27"/>
      <c r="B451" s="645"/>
      <c r="C451" s="645"/>
      <c r="D451" s="131"/>
      <c r="F451" s="178"/>
      <c r="G451" s="178"/>
      <c r="H451" s="127"/>
      <c r="I451" s="178"/>
      <c r="J451" s="178"/>
      <c r="K451" s="178"/>
      <c r="L451" s="178"/>
      <c r="M451" s="178"/>
      <c r="N451" s="178"/>
      <c r="O451" s="178"/>
      <c r="P451" s="178"/>
      <c r="Q451" s="178"/>
      <c r="R451" s="178"/>
      <c r="S451" s="178"/>
      <c r="T451" s="178"/>
      <c r="U451" s="178"/>
      <c r="V451" s="410"/>
      <c r="Z451" s="178"/>
      <c r="AA451" s="178"/>
      <c r="AB451" s="178"/>
      <c r="AC451" s="178"/>
      <c r="AD451" s="178"/>
      <c r="AE451" s="178"/>
      <c r="AF451" s="178"/>
      <c r="AG451" s="178"/>
      <c r="AH451" s="178"/>
      <c r="AI451" s="178"/>
      <c r="AJ451" s="178"/>
      <c r="AK451" s="178"/>
      <c r="AL451" s="178"/>
      <c r="AM451" s="178"/>
      <c r="AN451" s="178"/>
      <c r="AO451" s="178"/>
      <c r="AP451" s="178"/>
      <c r="AQ451" s="178"/>
      <c r="AR451" s="178"/>
      <c r="AS451" s="178"/>
    </row>
    <row r="452" spans="1:45" s="21" customFormat="1" x14ac:dyDescent="0.4">
      <c r="A452" s="27"/>
      <c r="B452" s="645"/>
      <c r="C452" s="645"/>
      <c r="D452" s="131"/>
      <c r="F452" s="178"/>
      <c r="G452" s="178"/>
      <c r="H452" s="127"/>
      <c r="I452" s="178"/>
      <c r="J452" s="178"/>
      <c r="K452" s="178"/>
      <c r="L452" s="178"/>
      <c r="M452" s="178"/>
      <c r="N452" s="178"/>
      <c r="O452" s="178"/>
      <c r="P452" s="178"/>
      <c r="Q452" s="178"/>
      <c r="R452" s="178"/>
      <c r="S452" s="178"/>
      <c r="T452" s="178"/>
      <c r="U452" s="178"/>
      <c r="V452" s="410"/>
      <c r="Z452" s="178"/>
      <c r="AA452" s="178"/>
      <c r="AB452" s="178"/>
      <c r="AC452" s="178"/>
      <c r="AD452" s="178"/>
      <c r="AE452" s="178"/>
      <c r="AF452" s="178"/>
      <c r="AG452" s="178"/>
      <c r="AH452" s="178"/>
      <c r="AI452" s="178"/>
      <c r="AJ452" s="178"/>
      <c r="AK452" s="178"/>
      <c r="AL452" s="178"/>
      <c r="AM452" s="178"/>
      <c r="AN452" s="178"/>
      <c r="AO452" s="178"/>
      <c r="AP452" s="178"/>
      <c r="AQ452" s="178"/>
      <c r="AR452" s="178"/>
      <c r="AS452" s="178"/>
    </row>
    <row r="453" spans="1:45" s="21" customFormat="1" x14ac:dyDescent="0.4">
      <c r="A453" s="27"/>
      <c r="B453" s="645"/>
      <c r="C453" s="645"/>
      <c r="D453" s="131"/>
      <c r="F453" s="178"/>
      <c r="G453" s="178"/>
      <c r="H453" s="127"/>
      <c r="I453" s="178"/>
      <c r="J453" s="178"/>
      <c r="K453" s="178"/>
      <c r="L453" s="178"/>
      <c r="M453" s="178"/>
      <c r="N453" s="178"/>
      <c r="O453" s="178"/>
      <c r="P453" s="178"/>
      <c r="Q453" s="178"/>
      <c r="R453" s="178"/>
      <c r="S453" s="178"/>
      <c r="T453" s="178"/>
      <c r="U453" s="178"/>
      <c r="V453" s="410"/>
      <c r="Z453" s="178"/>
      <c r="AA453" s="178"/>
      <c r="AB453" s="178"/>
      <c r="AC453" s="178"/>
      <c r="AD453" s="178"/>
      <c r="AE453" s="178"/>
      <c r="AF453" s="178"/>
      <c r="AG453" s="178"/>
      <c r="AH453" s="178"/>
      <c r="AI453" s="178"/>
      <c r="AJ453" s="178"/>
      <c r="AK453" s="178"/>
      <c r="AL453" s="178"/>
      <c r="AM453" s="178"/>
      <c r="AN453" s="178"/>
      <c r="AO453" s="178"/>
      <c r="AP453" s="178"/>
      <c r="AQ453" s="178"/>
      <c r="AR453" s="178"/>
      <c r="AS453" s="178"/>
    </row>
    <row r="454" spans="1:45" s="21" customFormat="1" x14ac:dyDescent="0.4">
      <c r="A454" s="27"/>
      <c r="B454" s="645"/>
      <c r="C454" s="645"/>
      <c r="D454" s="131" t="s">
        <v>44</v>
      </c>
      <c r="F454" s="178"/>
      <c r="G454" s="178"/>
      <c r="H454" s="127"/>
      <c r="I454" s="178"/>
      <c r="J454" s="178"/>
      <c r="K454" s="178"/>
      <c r="L454" s="178"/>
      <c r="M454" s="178"/>
      <c r="N454" s="178"/>
      <c r="O454" s="178"/>
      <c r="P454" s="178"/>
      <c r="Q454" s="178"/>
      <c r="R454" s="178"/>
      <c r="S454" s="178"/>
      <c r="T454" s="178"/>
      <c r="U454" s="178"/>
      <c r="V454" s="410"/>
      <c r="Z454" s="178"/>
      <c r="AA454" s="178"/>
      <c r="AB454" s="178"/>
      <c r="AC454" s="178"/>
      <c r="AD454" s="178"/>
      <c r="AE454" s="178"/>
      <c r="AF454" s="178"/>
      <c r="AG454" s="178"/>
      <c r="AH454" s="178"/>
      <c r="AI454" s="178"/>
      <c r="AJ454" s="178"/>
      <c r="AK454" s="178"/>
      <c r="AL454" s="178"/>
      <c r="AM454" s="178"/>
      <c r="AN454" s="178"/>
      <c r="AO454" s="178"/>
      <c r="AP454" s="178"/>
      <c r="AQ454" s="178"/>
      <c r="AR454" s="178"/>
      <c r="AS454" s="178"/>
    </row>
    <row r="455" spans="1:45" s="21" customFormat="1" x14ac:dyDescent="0.4">
      <c r="A455" s="27"/>
      <c r="B455" s="645"/>
      <c r="C455" s="645"/>
      <c r="D455" s="131" t="s">
        <v>44</v>
      </c>
      <c r="F455" s="178"/>
      <c r="G455" s="178"/>
      <c r="H455" s="127"/>
      <c r="I455" s="178"/>
      <c r="J455" s="178"/>
      <c r="K455" s="178"/>
      <c r="L455" s="178"/>
      <c r="M455" s="178"/>
      <c r="N455" s="178"/>
      <c r="O455" s="178"/>
      <c r="P455" s="178"/>
      <c r="Q455" s="178"/>
      <c r="R455" s="178"/>
      <c r="S455" s="178"/>
      <c r="T455" s="178"/>
      <c r="U455" s="178"/>
      <c r="V455" s="410"/>
      <c r="Z455" s="178"/>
      <c r="AA455" s="178"/>
      <c r="AB455" s="178"/>
      <c r="AC455" s="178"/>
      <c r="AD455" s="178"/>
      <c r="AE455" s="178"/>
      <c r="AF455" s="178"/>
      <c r="AG455" s="178"/>
      <c r="AH455" s="178"/>
      <c r="AI455" s="178"/>
      <c r="AJ455" s="178"/>
      <c r="AK455" s="178"/>
      <c r="AL455" s="178"/>
      <c r="AM455" s="178"/>
      <c r="AN455" s="178"/>
      <c r="AO455" s="178"/>
      <c r="AP455" s="178"/>
      <c r="AQ455" s="178"/>
      <c r="AR455" s="178"/>
      <c r="AS455" s="178"/>
    </row>
    <row r="456" spans="1:45" s="21" customFormat="1" x14ac:dyDescent="0.4">
      <c r="A456" s="27"/>
      <c r="B456" s="645"/>
      <c r="C456" s="645"/>
      <c r="D456" s="131" t="s">
        <v>44</v>
      </c>
      <c r="F456" s="178"/>
      <c r="G456" s="178"/>
      <c r="H456" s="127"/>
      <c r="I456" s="178"/>
      <c r="J456" s="178"/>
      <c r="K456" s="178"/>
      <c r="L456" s="178"/>
      <c r="M456" s="178"/>
      <c r="N456" s="178"/>
      <c r="O456" s="178"/>
      <c r="P456" s="178"/>
      <c r="Q456" s="178"/>
      <c r="R456" s="178"/>
      <c r="S456" s="178"/>
      <c r="T456" s="178"/>
      <c r="U456" s="178"/>
      <c r="V456" s="410"/>
      <c r="Z456" s="178"/>
      <c r="AA456" s="178"/>
      <c r="AB456" s="178"/>
      <c r="AC456" s="178"/>
      <c r="AD456" s="178"/>
      <c r="AE456" s="178"/>
      <c r="AF456" s="178"/>
      <c r="AG456" s="178"/>
      <c r="AH456" s="178"/>
      <c r="AI456" s="178"/>
      <c r="AJ456" s="178"/>
      <c r="AK456" s="178"/>
      <c r="AL456" s="178"/>
      <c r="AM456" s="178"/>
      <c r="AN456" s="178"/>
      <c r="AO456" s="178"/>
      <c r="AP456" s="178"/>
      <c r="AQ456" s="178"/>
      <c r="AR456" s="178"/>
      <c r="AS456" s="178"/>
    </row>
    <row r="457" spans="1:45" s="21" customFormat="1" x14ac:dyDescent="0.4">
      <c r="A457" s="27"/>
      <c r="B457" s="645"/>
      <c r="C457" s="645"/>
      <c r="D457" s="131"/>
      <c r="F457" s="178"/>
      <c r="G457" s="178"/>
      <c r="H457" s="127"/>
      <c r="I457" s="178"/>
      <c r="J457" s="178"/>
      <c r="K457" s="178"/>
      <c r="L457" s="178"/>
      <c r="M457" s="178"/>
      <c r="N457" s="178"/>
      <c r="O457" s="178"/>
      <c r="P457" s="178"/>
      <c r="Q457" s="178"/>
      <c r="R457" s="178"/>
      <c r="S457" s="178"/>
      <c r="T457" s="178"/>
      <c r="U457" s="178"/>
      <c r="V457" s="410"/>
      <c r="Z457" s="178"/>
      <c r="AA457" s="178"/>
      <c r="AB457" s="178"/>
      <c r="AC457" s="178"/>
      <c r="AD457" s="178"/>
      <c r="AE457" s="178"/>
      <c r="AF457" s="178"/>
      <c r="AG457" s="178"/>
      <c r="AH457" s="178"/>
      <c r="AI457" s="178"/>
      <c r="AJ457" s="178"/>
      <c r="AK457" s="178"/>
      <c r="AL457" s="178"/>
      <c r="AM457" s="178"/>
      <c r="AN457" s="178"/>
      <c r="AO457" s="178"/>
      <c r="AP457" s="178"/>
      <c r="AQ457" s="178"/>
      <c r="AR457" s="178"/>
      <c r="AS457" s="178"/>
    </row>
    <row r="458" spans="1:45" s="21" customFormat="1" x14ac:dyDescent="0.4">
      <c r="A458" s="27"/>
      <c r="B458" s="645"/>
      <c r="C458" s="645"/>
      <c r="D458" s="131" t="s">
        <v>44</v>
      </c>
      <c r="F458" s="178"/>
      <c r="G458" s="178"/>
      <c r="H458" s="127"/>
      <c r="I458" s="178"/>
      <c r="J458" s="178"/>
      <c r="K458" s="178"/>
      <c r="L458" s="178"/>
      <c r="M458" s="178"/>
      <c r="N458" s="178"/>
      <c r="O458" s="178"/>
      <c r="P458" s="178"/>
      <c r="Q458" s="178"/>
      <c r="R458" s="178"/>
      <c r="S458" s="178"/>
      <c r="T458" s="178"/>
      <c r="U458" s="178"/>
      <c r="V458" s="410"/>
      <c r="Z458" s="178"/>
      <c r="AA458" s="178"/>
      <c r="AB458" s="178"/>
      <c r="AC458" s="178"/>
      <c r="AD458" s="178"/>
      <c r="AE458" s="178"/>
      <c r="AF458" s="178"/>
      <c r="AG458" s="178"/>
      <c r="AH458" s="178"/>
      <c r="AI458" s="178"/>
      <c r="AJ458" s="178"/>
      <c r="AK458" s="178"/>
      <c r="AL458" s="178"/>
      <c r="AM458" s="178"/>
      <c r="AN458" s="178"/>
      <c r="AO458" s="178"/>
      <c r="AP458" s="178"/>
      <c r="AQ458" s="178"/>
      <c r="AR458" s="178"/>
      <c r="AS458" s="178"/>
    </row>
    <row r="459" spans="1:45" s="138" customFormat="1" ht="82.5" customHeight="1" x14ac:dyDescent="0.4">
      <c r="A459" s="654"/>
      <c r="B459" s="654"/>
      <c r="C459" s="654"/>
      <c r="E459" s="668" t="s">
        <v>37</v>
      </c>
      <c r="F459" s="668"/>
      <c r="G459" s="668"/>
      <c r="H459" s="668"/>
      <c r="I459" s="668"/>
      <c r="J459" s="668"/>
      <c r="K459" s="668"/>
      <c r="L459" s="668"/>
      <c r="M459" s="668"/>
      <c r="N459" s="668"/>
      <c r="O459" s="668"/>
      <c r="P459" s="668"/>
      <c r="Q459" s="668"/>
      <c r="R459" s="668"/>
      <c r="S459" s="399"/>
      <c r="T459" s="399"/>
      <c r="U459" s="399"/>
      <c r="V459" s="419"/>
      <c r="Y459" s="138" t="s">
        <v>160</v>
      </c>
      <c r="Z459" s="399"/>
      <c r="AA459" s="399"/>
      <c r="AB459" s="399"/>
      <c r="AC459" s="399"/>
      <c r="AD459" s="399"/>
      <c r="AE459" s="399"/>
      <c r="AF459" s="399"/>
      <c r="AG459" s="399"/>
      <c r="AH459" s="399"/>
      <c r="AI459" s="399"/>
      <c r="AJ459" s="399"/>
      <c r="AK459" s="399"/>
      <c r="AL459" s="399"/>
      <c r="AM459" s="399"/>
      <c r="AN459" s="399"/>
      <c r="AO459" s="399"/>
      <c r="AP459" s="399"/>
      <c r="AQ459" s="399"/>
      <c r="AR459" s="399"/>
      <c r="AS459" s="399"/>
    </row>
    <row r="460" spans="1:45" s="21" customFormat="1" x14ac:dyDescent="0.4">
      <c r="A460" s="27"/>
      <c r="B460" s="645"/>
      <c r="C460" s="645"/>
      <c r="D460" s="131" t="s">
        <v>44</v>
      </c>
      <c r="F460" s="178"/>
      <c r="G460" s="178"/>
      <c r="H460" s="127"/>
      <c r="I460" s="178"/>
      <c r="J460" s="178"/>
      <c r="K460" s="178"/>
      <c r="L460" s="178"/>
      <c r="M460" s="178"/>
      <c r="N460" s="178"/>
      <c r="O460" s="178"/>
      <c r="P460" s="178"/>
      <c r="Q460" s="178"/>
      <c r="R460" s="178"/>
      <c r="S460" s="178"/>
      <c r="T460" s="178"/>
      <c r="U460" s="178"/>
      <c r="V460" s="410"/>
      <c r="Z460" s="178"/>
      <c r="AA460" s="178"/>
      <c r="AB460" s="178"/>
      <c r="AC460" s="178"/>
      <c r="AD460" s="178"/>
      <c r="AE460" s="178"/>
      <c r="AF460" s="178"/>
      <c r="AG460" s="178"/>
      <c r="AH460" s="178"/>
      <c r="AI460" s="178"/>
      <c r="AJ460" s="178"/>
      <c r="AK460" s="178"/>
      <c r="AL460" s="178"/>
      <c r="AM460" s="178"/>
      <c r="AN460" s="178"/>
      <c r="AO460" s="178"/>
      <c r="AP460" s="178"/>
      <c r="AQ460" s="178"/>
      <c r="AR460" s="178"/>
      <c r="AS460" s="178"/>
    </row>
    <row r="461" spans="1:45" s="21" customFormat="1" ht="24.6" x14ac:dyDescent="0.55000000000000004">
      <c r="A461" s="27"/>
      <c r="B461" s="645"/>
      <c r="C461" s="645"/>
      <c r="D461" s="131"/>
      <c r="E461" s="676" t="str">
        <f>'Talnagögn | Numerical Data'!$E$117</f>
        <v>Losun frá landbúnaði samkvæmt eiginlegri flokkun</v>
      </c>
      <c r="F461" s="178"/>
      <c r="G461" s="178"/>
      <c r="H461" s="127"/>
      <c r="I461" s="178"/>
      <c r="J461" s="178"/>
      <c r="K461" s="178"/>
      <c r="L461" s="178"/>
      <c r="M461" s="178"/>
      <c r="N461" s="178"/>
      <c r="O461" s="178"/>
      <c r="P461" s="178"/>
      <c r="Q461" s="178"/>
      <c r="R461" s="178"/>
      <c r="S461" s="178"/>
      <c r="T461" s="178"/>
      <c r="U461" s="178"/>
      <c r="V461" s="410"/>
      <c r="Y461" s="676" t="str">
        <f>'Talnagögn | Numerical Data'!$G$117</f>
        <v>Emissions from Agriculture sector according to the proprietary classification</v>
      </c>
      <c r="Z461" s="178"/>
      <c r="AA461" s="178"/>
      <c r="AB461" s="178"/>
      <c r="AC461" s="178"/>
      <c r="AD461" s="178"/>
      <c r="AE461" s="178"/>
      <c r="AF461" s="178"/>
      <c r="AG461" s="178"/>
      <c r="AH461" s="178"/>
      <c r="AI461" s="178"/>
      <c r="AJ461" s="178"/>
      <c r="AK461" s="178"/>
      <c r="AL461" s="178"/>
      <c r="AM461" s="178"/>
      <c r="AN461" s="178"/>
      <c r="AO461" s="178"/>
      <c r="AP461" s="178"/>
      <c r="AQ461" s="178"/>
      <c r="AR461" s="178"/>
      <c r="AS461" s="178"/>
    </row>
    <row r="462" spans="1:45" s="21" customFormat="1" ht="20.399999999999999" x14ac:dyDescent="0.45">
      <c r="A462" s="27"/>
      <c r="B462" s="645"/>
      <c r="C462" s="645"/>
      <c r="D462" s="131"/>
      <c r="E462" s="813" t="str">
        <f>'Talnagögn | Numerical Data'!$E$118</f>
        <v>Flokkaskipting byggð á búgreinum og starfsemi í íslenskum landbúnaði</v>
      </c>
      <c r="F462" s="178"/>
      <c r="G462" s="178"/>
      <c r="H462" s="127"/>
      <c r="I462" s="178"/>
      <c r="J462" s="178"/>
      <c r="K462" s="178"/>
      <c r="L462" s="178"/>
      <c r="M462" s="178"/>
      <c r="N462" s="178"/>
      <c r="O462" s="178"/>
      <c r="P462" s="178"/>
      <c r="Q462" s="178"/>
      <c r="R462" s="178"/>
      <c r="S462" s="178"/>
      <c r="T462" s="178"/>
      <c r="U462" s="178"/>
      <c r="V462" s="410"/>
      <c r="Y462" s="813" t="str">
        <f>'Talnagögn | Numerical Data'!$G$118</f>
        <v>Classification based on agricultural sectors and activities in Icelandic agriculture</v>
      </c>
      <c r="Z462" s="178"/>
      <c r="AA462" s="178"/>
      <c r="AB462" s="178"/>
      <c r="AC462" s="178"/>
      <c r="AD462" s="178"/>
      <c r="AE462" s="178"/>
      <c r="AF462" s="178"/>
      <c r="AG462" s="178"/>
      <c r="AH462" s="178"/>
      <c r="AI462" s="178"/>
      <c r="AJ462" s="178"/>
      <c r="AK462" s="178"/>
      <c r="AL462" s="178"/>
      <c r="AM462" s="178"/>
      <c r="AN462" s="178"/>
      <c r="AO462" s="178"/>
      <c r="AP462" s="178"/>
      <c r="AQ462" s="178"/>
      <c r="AR462" s="178"/>
      <c r="AS462" s="178"/>
    </row>
    <row r="463" spans="1:45" ht="47.4" customHeight="1" x14ac:dyDescent="0.4">
      <c r="D463" s="123"/>
      <c r="E463" s="1392" t="str">
        <f>"STAÐAN ÁRIÐ "&amp;$A$1</f>
        <v>STAÐAN ÁRIÐ 2025</v>
      </c>
      <c r="F463" s="520"/>
      <c r="G463" s="520"/>
      <c r="H463" s="520"/>
      <c r="I463" s="520"/>
      <c r="J463" s="520"/>
      <c r="K463" s="520"/>
      <c r="L463" s="520"/>
      <c r="M463" s="520"/>
      <c r="O463" s="1392" t="str">
        <f>$O$5</f>
        <v>FRAMTÍÐARHORFUR</v>
      </c>
      <c r="P463" s="1419" t="str">
        <f>$P$5</f>
        <v>Áætluð breyting í losun út frá
sviðsmynd byggð á aðgerðum stjórvalda</v>
      </c>
      <c r="Q463" s="1420"/>
      <c r="R463" s="1420"/>
      <c r="S463" s="1420"/>
      <c r="V463" s="162"/>
      <c r="Y463" s="1392" t="str">
        <f>$Y$5</f>
        <v>2025 EMISSIONS</v>
      </c>
      <c r="Z463" s="520"/>
      <c r="AA463" s="520"/>
      <c r="AB463" s="520"/>
      <c r="AC463" s="520"/>
      <c r="AD463" s="520"/>
      <c r="AE463" s="520"/>
      <c r="AF463" s="520"/>
      <c r="AG463" s="520"/>
      <c r="AI463" s="1392" t="str">
        <f>$AI$5</f>
        <v>OUTLOOKS</v>
      </c>
      <c r="AJ463" s="1419" t="str">
        <f>$AJ$5</f>
        <v>Estimated change in emissions based on
government policy-based scenario</v>
      </c>
      <c r="AK463" s="1420"/>
      <c r="AL463" s="1420"/>
      <c r="AM463" s="1424"/>
    </row>
    <row r="464" spans="1:45" s="21" customFormat="1" ht="16.95" customHeight="1" x14ac:dyDescent="0.4">
      <c r="A464" s="27"/>
      <c r="B464" s="645"/>
      <c r="C464" s="645"/>
      <c r="D464" s="131" t="s">
        <v>44</v>
      </c>
      <c r="E464" s="1392"/>
      <c r="F464" s="1395" t="str">
        <f>"Losun "&amp;$A$1</f>
        <v>Losun 2025</v>
      </c>
      <c r="G464" s="1421"/>
      <c r="H464" s="1394" t="str">
        <f>"Breyting frá "&amp;$B$3</f>
        <v>Breyting frá 2024</v>
      </c>
      <c r="I464" s="1421"/>
      <c r="J464" s="1394" t="str">
        <f>"Breyting frá "&amp;$B$2</f>
        <v>Breyting frá 2005</v>
      </c>
      <c r="K464" s="1421"/>
      <c r="L464" s="1394" t="str">
        <f>"Breyting frá "&amp;$B$1</f>
        <v>Breyting frá 1990</v>
      </c>
      <c r="M464" s="1395"/>
      <c r="N464" s="127"/>
      <c r="O464" s="1392"/>
      <c r="P464" s="1394" t="s">
        <v>342</v>
      </c>
      <c r="Q464" s="1421"/>
      <c r="R464" s="1394" t="s">
        <v>343</v>
      </c>
      <c r="S464" s="1395"/>
      <c r="T464" s="178"/>
      <c r="U464" s="178"/>
      <c r="V464" s="410"/>
      <c r="Y464" s="1392"/>
      <c r="Z464" s="1423" t="str">
        <f>$Z$6</f>
        <v>Emissions in 2025</v>
      </c>
      <c r="AA464" s="1421"/>
      <c r="AB464" s="1394" t="str">
        <f>$AB$6</f>
        <v>Change from 2024</v>
      </c>
      <c r="AC464" s="1421"/>
      <c r="AD464" s="1394" t="str">
        <f>$AD$6</f>
        <v>Change from 2005</v>
      </c>
      <c r="AE464" s="1421"/>
      <c r="AF464" s="1394" t="str">
        <f>$AF$6</f>
        <v>Change from 1990</v>
      </c>
      <c r="AG464" s="1395"/>
      <c r="AH464" s="127"/>
      <c r="AI464" s="1392"/>
      <c r="AJ464" s="1423" t="str">
        <f>$AJ$6</f>
        <v>2030 compared to 2005</v>
      </c>
      <c r="AK464" s="1421"/>
      <c r="AL464" s="1394" t="str">
        <f>$AL$6</f>
        <v>2055 compared to 1990</v>
      </c>
      <c r="AM464" s="1421"/>
      <c r="AN464" s="178"/>
      <c r="AO464" s="178"/>
      <c r="AP464" s="178"/>
      <c r="AQ464" s="178"/>
      <c r="AR464" s="178"/>
      <c r="AS464" s="178"/>
    </row>
    <row r="465" spans="1:45" s="21" customFormat="1" ht="17.399999999999999" customHeight="1" thickBot="1" x14ac:dyDescent="0.45">
      <c r="A465" s="27"/>
      <c r="B465" s="645"/>
      <c r="C465" s="645"/>
      <c r="D465" s="131" t="s">
        <v>44</v>
      </c>
      <c r="E465" s="1393"/>
      <c r="F465" s="488" t="s">
        <v>349</v>
      </c>
      <c r="G465" s="489" t="s">
        <v>4</v>
      </c>
      <c r="H465" s="488" t="str">
        <f>$F$7</f>
        <v>Þús. tonn CO₂-íg.</v>
      </c>
      <c r="I465" s="489" t="s">
        <v>4</v>
      </c>
      <c r="J465" s="488" t="str">
        <f>$F$7</f>
        <v>Þús. tonn CO₂-íg.</v>
      </c>
      <c r="K465" s="489" t="s">
        <v>4</v>
      </c>
      <c r="L465" s="488" t="str">
        <f>$F$7</f>
        <v>Þús. tonn CO₂-íg.</v>
      </c>
      <c r="M465" s="488" t="s">
        <v>4</v>
      </c>
      <c r="N465" s="127"/>
      <c r="O465" s="1393"/>
      <c r="P465" s="488" t="str">
        <f>$F$7</f>
        <v>Þús. tonn CO₂-íg.</v>
      </c>
      <c r="Q465" s="489" t="s">
        <v>4</v>
      </c>
      <c r="R465" s="488" t="str">
        <f>$F$7</f>
        <v>Þús. tonn CO₂-íg.</v>
      </c>
      <c r="S465" s="488" t="s">
        <v>4</v>
      </c>
      <c r="T465" s="178"/>
      <c r="U465" s="178"/>
      <c r="V465" s="410"/>
      <c r="Y465" s="1393"/>
      <c r="Z465" s="488" t="str">
        <f>$Z$7</f>
        <v>Thousand tons CO₂e</v>
      </c>
      <c r="AA465" s="489" t="s">
        <v>4</v>
      </c>
      <c r="AB465" s="488" t="str">
        <f>$Z$7</f>
        <v>Thousand tons CO₂e</v>
      </c>
      <c r="AC465" s="489" t="s">
        <v>4</v>
      </c>
      <c r="AD465" s="488" t="str">
        <f>$F$7</f>
        <v>Þús. tonn CO₂-íg.</v>
      </c>
      <c r="AE465" s="489" t="s">
        <v>4</v>
      </c>
      <c r="AF465" s="488" t="str">
        <f>$Z$7</f>
        <v>Thousand tons CO₂e</v>
      </c>
      <c r="AG465" s="488" t="s">
        <v>4</v>
      </c>
      <c r="AH465" s="127"/>
      <c r="AI465" s="1393"/>
      <c r="AJ465" s="488" t="str">
        <f>$Z$7</f>
        <v>Thousand tons CO₂e</v>
      </c>
      <c r="AK465" s="489" t="s">
        <v>4</v>
      </c>
      <c r="AL465" s="488" t="str">
        <f>$Z$7</f>
        <v>Thousand tons CO₂e</v>
      </c>
      <c r="AM465" s="488" t="s">
        <v>4</v>
      </c>
      <c r="AN465" s="178"/>
      <c r="AO465" s="178"/>
      <c r="AP465" s="178"/>
      <c r="AQ465" s="178"/>
      <c r="AR465" s="178"/>
      <c r="AS465" s="178"/>
    </row>
    <row r="466" spans="1:45" s="21" customFormat="1" ht="21" customHeight="1" thickTop="1" x14ac:dyDescent="0.4">
      <c r="A466" s="27" t="s">
        <v>418</v>
      </c>
      <c r="B466" s="27" t="s">
        <v>419</v>
      </c>
      <c r="C466" s="27" t="s">
        <v>420</v>
      </c>
      <c r="D466" s="131" t="s">
        <v>44</v>
      </c>
      <c r="E466" s="515" t="str">
        <f>'Talnagögn | Numerical Data'!$E$121&amp;" ¹"</f>
        <v>Framræst land (N₂O) ¹</v>
      </c>
      <c r="F466" s="485" cm="1">
        <f t="array" ref="F466">INDEX('Talnagögn | Numerical Data'!$1:$1048576,_xlfn.XMATCH($A466,'Talnagögn | Numerical Data'!$C:$C),_xlfn.XMATCH($A$1,'Talnagögn | Numerical Data'!$1:$1))</f>
        <v>192.53067664599612</v>
      </c>
      <c r="G466" s="493">
        <f>$F$466/$F$473</f>
        <v>0.28807276770548562</v>
      </c>
      <c r="H466" s="512" cm="1">
        <f t="array" ref="H466">INDEX('Talnagögn | Numerical Data'!$1:$1048576,_xlfn.XMATCH($A466,'Talnagögn | Numerical Data'!$C:$C),_xlfn.XMATCH($A$1,'Talnagögn | Numerical Data'!$1:$1))-INDEX('Talnagögn | Numerical Data'!$1:$1048576,_xlfn.XMATCH($A466,'Talnagögn | Numerical Data'!$C:$C),_xlfn.XMATCH($B$3,'Talnagögn | Numerical Data'!$1:$1))</f>
        <v>0.75443717496477802</v>
      </c>
      <c r="I466" s="496" cm="1">
        <f t="array" ref="I466">INDEX('Talnagögn | Numerical Data'!$1:$1048576, _xlfn.XMATCH($A466,'Talnagögn | Numerical Data'!$C:$C), _xlfn.XMATCH($A$1,'Talnagögn | Numerical Data'!$1:$1))/INDEX('Talnagögn | Numerical Data'!$1:$1048576, _xlfn.XMATCH($A466,'Talnagögn | Numerical Data'!$C:$C), _xlfn.XMATCH($B$3,'Talnagögn | Numerical Data'!$1:$1))-1</f>
        <v>3.9339449821609307E-3</v>
      </c>
      <c r="J466" s="487" cm="1">
        <f t="array" ref="J466">INDEX('Talnagögn | Numerical Data'!$1:$1048576,_xlfn.XMATCH($A466,'Talnagögn | Numerical Data'!$C:$C),_xlfn.XMATCH($A$1,'Talnagögn | Numerical Data'!$1:$1))-INDEX('Talnagögn | Numerical Data'!$1:$1048576,_xlfn.XMATCH($A466,'Talnagögn | Numerical Data'!$C:$C),_xlfn.XMATCH($B$2,'Talnagögn | Numerical Data'!$1:$1))</f>
        <v>-3.2141109288151597</v>
      </c>
      <c r="K466" s="495" cm="1">
        <f t="array" ref="K466">INDEX('Talnagögn | Numerical Data'!$1:$1048576,_xlfn.XMATCH($A466,'Talnagögn | Numerical Data'!$C:$C),_xlfn.XMATCH($A$1,'Talnagögn | Numerical Data'!$1:$1))/INDEX('Talnagögn | Numerical Data'!$1:$1048576,_xlfn.XMATCH($A466,'Talnagögn | Numerical Data'!$C:$C),_xlfn.XMATCH($B$2,'Talnagögn | Numerical Data'!$1:$1))-1</f>
        <v>-1.6419905575195792E-2</v>
      </c>
      <c r="L466" s="486" cm="1">
        <f t="array" ref="L466">INDEX('Talnagögn | Numerical Data'!$1:$1048576,_xlfn.XMATCH($A466,'Talnagögn | Numerical Data'!$C:$C),_xlfn.XMATCH($A$1,'Talnagögn | Numerical Data'!$1:$1))-INDEX('Talnagögn | Numerical Data'!$1:$1048576,_xlfn.XMATCH($A466,'Talnagögn | Numerical Data'!$C:$C),_xlfn.XMATCH($B$1,'Talnagögn | Numerical Data'!$1:$1))</f>
        <v>44.746342265253418</v>
      </c>
      <c r="M466" s="480" cm="1">
        <f t="array" ref="M466">INDEX('Talnagögn | Numerical Data'!$1:$1048576,_xlfn.XMATCH($A466,'Talnagögn | Numerical Data'!$C:$C),_xlfn.XMATCH($A$1,'Talnagögn | Numerical Data'!$1:$1))/INDEX('Talnagögn | Numerical Data'!$1:$1048576,_xlfn.XMATCH($A466,'Talnagögn | Numerical Data'!$C:$C),_xlfn.XMATCH($B$1,'Talnagögn | Numerical Data'!$1:$1))-1</f>
        <v>0.3027813634831662</v>
      </c>
      <c r="O466" s="515" t="str">
        <f>'Talnagögn | Numerical Data'!$E$121</f>
        <v>Framræst land (N₂O)</v>
      </c>
      <c r="P466" s="487" cm="1">
        <f t="array" ref="P466">INDEX('Talnagögn | Numerical Data'!$1:$1048576,_xlfn.XMATCH($B466,'Talnagögn | Numerical Data'!$C:$C),_xlfn.XMATCH($B$4,'Talnagögn | Numerical Data'!$1:$1))-INDEX('Talnagögn | Numerical Data'!$1:$1048576,_xlfn.XMATCH($A466,'Talnagögn | Numerical Data'!$C:$C),_xlfn.XMATCH($B$2,'Talnagögn | Numerical Data'!$1:$1))</f>
        <v>-5.6287942420582056</v>
      </c>
      <c r="Q466" s="495" cm="1">
        <f t="array" ref="Q466">INDEX('Talnagögn | Numerical Data'!$1:$1048576,_xlfn.XMATCH($B466,'Talnagögn | Numerical Data'!$C:$C),_xlfn.XMATCH($B$4,'Talnagögn | Numerical Data'!$1:$1))/INDEX('Talnagögn | Numerical Data'!$1:$1048576,_xlfn.XMATCH($A466,'Talnagögn | Numerical Data'!$C:$C),_xlfn.XMATCH($B$2,'Talnagögn | Numerical Data'!$1:$1))-1</f>
        <v>-2.875578099318199E-2</v>
      </c>
      <c r="R466" s="485" cm="1">
        <f t="array" ref="R466">INDEX('Talnagögn | Numerical Data'!$1:$1048576,_xlfn.XMATCH($B466,'Talnagögn | Numerical Data'!$C:$C),_xlfn.XMATCH($B$5,'Talnagögn | Numerical Data'!$1:$1))-INDEX('Talnagögn | Numerical Data'!$1:$1048576,_xlfn.XMATCH($A466,'Talnagögn | Numerical Data'!$C:$C),_xlfn.XMATCH($B$1,'Talnagögn | Numerical Data'!$1:$1))</f>
        <v>41.239562991976669</v>
      </c>
      <c r="S466" s="480" cm="1">
        <f t="array" ref="S466">INDEX('Talnagögn | Numerical Data'!$1:$1048576,_xlfn.XMATCH($B466,'Talnagögn | Numerical Data'!$C:$C),_xlfn.XMATCH($B$5,'Talnagögn | Numerical Data'!$1:$1))/INDEX('Talnagögn | Numerical Data'!$1:$1048576,_xlfn.XMATCH($A466,'Talnagögn | Numerical Data'!$C:$C),_xlfn.XMATCH($B$1,'Talnagögn | Numerical Data'!$1:$1))-1</f>
        <v>0.27905233098475457</v>
      </c>
      <c r="V466" s="408"/>
      <c r="Y466" s="515" t="str">
        <f>'Talnagögn | Numerical Data'!$G$121&amp;" ¹"</f>
        <v>Cultivation of Organic Soils (N₂O) ¹</v>
      </c>
      <c r="Z466" s="485" cm="1">
        <f t="array" ref="Z466">INDEX('Talnagögn | Numerical Data'!$1:$1048576,_xlfn.XMATCH($A466,'Talnagögn | Numerical Data'!$C:$C),_xlfn.XMATCH($A$1,'Talnagögn | Numerical Data'!$1:$1))</f>
        <v>192.53067664599612</v>
      </c>
      <c r="AA466" s="493">
        <f>$F$466/$F$473</f>
        <v>0.28807276770548562</v>
      </c>
      <c r="AB466" s="512" cm="1">
        <f t="array" ref="AB466">INDEX('Talnagögn | Numerical Data'!$1:$1048576,_xlfn.XMATCH($A466,'Talnagögn | Numerical Data'!$C:$C),_xlfn.XMATCH($A$1,'Talnagögn | Numerical Data'!$1:$1))-INDEX('Talnagögn | Numerical Data'!$1:$1048576,_xlfn.XMATCH($A466,'Talnagögn | Numerical Data'!$C:$C),_xlfn.XMATCH($B$3,'Talnagögn | Numerical Data'!$1:$1))</f>
        <v>0.75443717496477802</v>
      </c>
      <c r="AC466" s="496" cm="1">
        <f t="array" ref="AC466">INDEX('Talnagögn | Numerical Data'!$1:$1048576, _xlfn.XMATCH($A466,'Talnagögn | Numerical Data'!$C:$C), _xlfn.XMATCH($A$1,'Talnagögn | Numerical Data'!$1:$1))/INDEX('Talnagögn | Numerical Data'!$1:$1048576, _xlfn.XMATCH($A466,'Talnagögn | Numerical Data'!$C:$C), _xlfn.XMATCH($B$3,'Talnagögn | Numerical Data'!$1:$1))-1</f>
        <v>3.9339449821609307E-3</v>
      </c>
      <c r="AD466" s="487" cm="1">
        <f t="array" ref="AD466">INDEX('Talnagögn | Numerical Data'!$1:$1048576,_xlfn.XMATCH($A466,'Talnagögn | Numerical Data'!$C:$C),_xlfn.XMATCH($A$1,'Talnagögn | Numerical Data'!$1:$1))-INDEX('Talnagögn | Numerical Data'!$1:$1048576,_xlfn.XMATCH($A466,'Talnagögn | Numerical Data'!$C:$C),_xlfn.XMATCH($B$2,'Talnagögn | Numerical Data'!$1:$1))</f>
        <v>-3.2141109288151597</v>
      </c>
      <c r="AE466" s="495" cm="1">
        <f t="array" ref="AE466">INDEX('Talnagögn | Numerical Data'!$1:$1048576,_xlfn.XMATCH($A466,'Talnagögn | Numerical Data'!$C:$C),_xlfn.XMATCH($A$1,'Talnagögn | Numerical Data'!$1:$1))/INDEX('Talnagögn | Numerical Data'!$1:$1048576,_xlfn.XMATCH($A466,'Talnagögn | Numerical Data'!$C:$C),_xlfn.XMATCH($B$2,'Talnagögn | Numerical Data'!$1:$1))-1</f>
        <v>-1.6419905575195792E-2</v>
      </c>
      <c r="AF466" s="486" cm="1">
        <f t="array" ref="AF466">INDEX('Talnagögn | Numerical Data'!$1:$1048576,_xlfn.XMATCH($A466,'Talnagögn | Numerical Data'!$C:$C),_xlfn.XMATCH($A$1,'Talnagögn | Numerical Data'!$1:$1))-INDEX('Talnagögn | Numerical Data'!$1:$1048576,_xlfn.XMATCH($A466,'Talnagögn | Numerical Data'!$C:$C),_xlfn.XMATCH($B$1,'Talnagögn | Numerical Data'!$1:$1))</f>
        <v>44.746342265253418</v>
      </c>
      <c r="AG466" s="480" cm="1">
        <f t="array" ref="AG466">INDEX('Talnagögn | Numerical Data'!$1:$1048576,_xlfn.XMATCH($A466,'Talnagögn | Numerical Data'!$C:$C),_xlfn.XMATCH($A$1,'Talnagögn | Numerical Data'!$1:$1))/INDEX('Talnagögn | Numerical Data'!$1:$1048576,_xlfn.XMATCH($A466,'Talnagögn | Numerical Data'!$C:$C),_xlfn.XMATCH($B$1,'Talnagögn | Numerical Data'!$1:$1))-1</f>
        <v>0.3027813634831662</v>
      </c>
      <c r="AI466" s="515" t="str">
        <f>'Talnagögn | Numerical Data'!$G$121</f>
        <v>Cultivation of Organic Soils (N₂O)</v>
      </c>
      <c r="AJ466" s="487" cm="1">
        <f t="array" ref="AJ466">INDEX('Talnagögn | Numerical Data'!$1:$1048576,_xlfn.XMATCH($B466,'Talnagögn | Numerical Data'!$C:$C),_xlfn.XMATCH($B$4,'Talnagögn | Numerical Data'!$1:$1))-INDEX('Talnagögn | Numerical Data'!$1:$1048576,_xlfn.XMATCH($A466,'Talnagögn | Numerical Data'!$C:$C),_xlfn.XMATCH($B$2,'Talnagögn | Numerical Data'!$1:$1))</f>
        <v>-5.6287942420582056</v>
      </c>
      <c r="AK466" s="495" cm="1">
        <f t="array" ref="AK466">INDEX('Talnagögn | Numerical Data'!$1:$1048576,_xlfn.XMATCH($B466,'Talnagögn | Numerical Data'!$C:$C),_xlfn.XMATCH($B$4,'Talnagögn | Numerical Data'!$1:$1))/INDEX('Talnagögn | Numerical Data'!$1:$1048576,_xlfn.XMATCH($A466,'Talnagögn | Numerical Data'!$C:$C),_xlfn.XMATCH($B$2,'Talnagögn | Numerical Data'!$1:$1))-1</f>
        <v>-2.875578099318199E-2</v>
      </c>
      <c r="AL466" s="485" cm="1">
        <f t="array" ref="AL466">INDEX('Talnagögn | Numerical Data'!$1:$1048576,_xlfn.XMATCH($B466,'Talnagögn | Numerical Data'!$C:$C),_xlfn.XMATCH($B$5,'Talnagögn | Numerical Data'!$1:$1))-INDEX('Talnagögn | Numerical Data'!$1:$1048576,_xlfn.XMATCH($A466,'Talnagögn | Numerical Data'!$C:$C),_xlfn.XMATCH($B$1,'Talnagögn | Numerical Data'!$1:$1))</f>
        <v>41.239562991976669</v>
      </c>
      <c r="AM466" s="480" cm="1">
        <f t="array" ref="AM466">INDEX('Talnagögn | Numerical Data'!$1:$1048576,_xlfn.XMATCH($B466,'Talnagögn | Numerical Data'!$C:$C),_xlfn.XMATCH($B$5,'Talnagögn | Numerical Data'!$1:$1))/INDEX('Talnagögn | Numerical Data'!$1:$1048576,_xlfn.XMATCH($A466,'Talnagögn | Numerical Data'!$C:$C),_xlfn.XMATCH($B$1,'Talnagögn | Numerical Data'!$1:$1))-1</f>
        <v>0.27905233098475457</v>
      </c>
    </row>
    <row r="467" spans="1:45" s="21" customFormat="1" ht="21" customHeight="1" x14ac:dyDescent="0.4">
      <c r="A467" s="27" t="s">
        <v>91</v>
      </c>
      <c r="B467" s="27" t="s">
        <v>269</v>
      </c>
      <c r="C467" s="27" t="s">
        <v>273</v>
      </c>
      <c r="D467" s="131" t="s">
        <v>44</v>
      </c>
      <c r="E467" s="514" t="str">
        <f>'Talnagögn | Numerical Data'!$E$133&amp;" ²"</f>
        <v>Nautgripir ²</v>
      </c>
      <c r="F467" s="485" cm="1">
        <f t="array" ref="F467">INDEX('Talnagögn | Numerical Data'!$1:$1048576,_xlfn.XMATCH($A467,'Talnagögn | Numerical Data'!$C:$C),_xlfn.XMATCH($A$1,'Talnagögn | Numerical Data'!$1:$1))</f>
        <v>183.73286362498627</v>
      </c>
      <c r="G467" s="493">
        <f>$F$467/$F$473</f>
        <v>0.27490909742255371</v>
      </c>
      <c r="H467" s="487" cm="1">
        <f t="array" ref="H467">INDEX('Talnagögn | Numerical Data'!$1:$1048576,_xlfn.XMATCH($A467,'Talnagögn | Numerical Data'!$C:$C),_xlfn.XMATCH($A$1,'Talnagögn | Numerical Data'!$1:$1))-INDEX('Talnagögn | Numerical Data'!$1:$1048576,_xlfn.XMATCH($A467,'Talnagögn | Numerical Data'!$C:$C),_xlfn.XMATCH($B$3,'Talnagögn | Numerical Data'!$1:$1))</f>
        <v>-0.32456498974113401</v>
      </c>
      <c r="I467" s="495" cm="1">
        <f t="array" ref="I467">INDEX('Talnagögn | Numerical Data'!$1:$1048576, _xlfn.XMATCH($A467,'Talnagögn | Numerical Data'!$C:$C), _xlfn.XMATCH($A$1,'Talnagögn | Numerical Data'!$1:$1))/INDEX('Talnagögn | Numerical Data'!$1:$1048576, _xlfn.XMATCH($A467,'Talnagögn | Numerical Data'!$C:$C), _xlfn.XMATCH($B$3,'Talnagögn | Numerical Data'!$1:$1))-1</f>
        <v>-1.7633897864590686E-3</v>
      </c>
      <c r="J467" s="486" cm="1">
        <f t="array" ref="J467">INDEX('Talnagögn | Numerical Data'!$1:$1048576,_xlfn.XMATCH($A467,'Talnagögn | Numerical Data'!$C:$C),_xlfn.XMATCH($A$1,'Talnagögn | Numerical Data'!$1:$1))-INDEX('Talnagögn | Numerical Data'!$1:$1048576,_xlfn.XMATCH($A467,'Talnagögn | Numerical Data'!$C:$C),_xlfn.XMATCH($B$2,'Talnagögn | Numerical Data'!$1:$1))</f>
        <v>34.204336965858403</v>
      </c>
      <c r="K467" s="493" cm="1">
        <f t="array" ref="K467">INDEX('Talnagögn | Numerical Data'!$1:$1048576,_xlfn.XMATCH($A467,'Talnagögn | Numerical Data'!$C:$C),_xlfn.XMATCH($A$1,'Talnagögn | Numerical Data'!$1:$1))/INDEX('Talnagögn | Numerical Data'!$1:$1048576,_xlfn.XMATCH($A467,'Talnagögn | Numerical Data'!$C:$C),_xlfn.XMATCH($B$2,'Talnagögn | Numerical Data'!$1:$1))-1</f>
        <v>0.22874790336048845</v>
      </c>
      <c r="L467" s="487" cm="1">
        <f t="array" ref="L467">INDEX('Talnagögn | Numerical Data'!$1:$1048576,_xlfn.XMATCH($A467,'Talnagögn | Numerical Data'!$C:$C),_xlfn.XMATCH($A$1,'Talnagögn | Numerical Data'!$1:$1))-INDEX('Talnagögn | Numerical Data'!$1:$1048576,_xlfn.XMATCH($A467,'Talnagögn | Numerical Data'!$C:$C),_xlfn.XMATCH($B$1,'Talnagögn | Numerical Data'!$1:$1))</f>
        <v>7.9136028533035301</v>
      </c>
      <c r="M467" s="481" cm="1">
        <f t="array" ref="M467">INDEX('Talnagögn | Numerical Data'!$1:$1048576,_xlfn.XMATCH($A467,'Talnagögn | Numerical Data'!$C:$C),_xlfn.XMATCH($A$1,'Talnagögn | Numerical Data'!$1:$1))/INDEX('Talnagögn | Numerical Data'!$1:$1048576,_xlfn.XMATCH($A467,'Talnagögn | Numerical Data'!$C:$C),_xlfn.XMATCH($B$1,'Talnagögn | Numerical Data'!$1:$1))-1</f>
        <v>4.5009874450445242E-2</v>
      </c>
      <c r="O467" s="514" t="str">
        <f>'Talnagögn | Numerical Data'!$E$133</f>
        <v>Nautgripir</v>
      </c>
      <c r="P467" s="486" cm="1">
        <f t="array" ref="P467">INDEX('Talnagögn | Numerical Data'!$1:$1048576,_xlfn.XMATCH($B467,'Talnagögn | Numerical Data'!$C:$C),_xlfn.XMATCH($B$4,'Talnagögn | Numerical Data'!$1:$1))-INDEX('Talnagögn | Numerical Data'!$1:$1048576,_xlfn.XMATCH($A467,'Talnagögn | Numerical Data'!$C:$C),_xlfn.XMATCH($B$2,'Talnagögn | Numerical Data'!$1:$1))</f>
        <v>33.576032599147851</v>
      </c>
      <c r="Q467" s="493" cm="1">
        <f t="array" ref="Q467">INDEX('Talnagögn | Numerical Data'!$1:$1048576,_xlfn.XMATCH($B467,'Talnagögn | Numerical Data'!$C:$C),_xlfn.XMATCH($B$4,'Talnagögn | Numerical Data'!$1:$1))/INDEX('Talnagögn | Numerical Data'!$1:$1048576,_xlfn.XMATCH($A467,'Talnagögn | Numerical Data'!$C:$C),_xlfn.XMATCH($B$2,'Talnagögn | Numerical Data'!$1:$1))-1</f>
        <v>0.22454600034740757</v>
      </c>
      <c r="R467" s="485" cm="1">
        <f t="array" ref="R467">INDEX('Talnagögn | Numerical Data'!$1:$1048576,_xlfn.XMATCH($B467,'Talnagögn | Numerical Data'!$C:$C),_xlfn.XMATCH($B$5,'Talnagögn | Numerical Data'!$1:$1))-INDEX('Talnagögn | Numerical Data'!$1:$1048576,_xlfn.XMATCH($A467,'Talnagögn | Numerical Data'!$C:$C),_xlfn.XMATCH($B$1,'Talnagögn | Numerical Data'!$1:$1))</f>
        <v>-13.822376813799991</v>
      </c>
      <c r="S467" s="481" cm="1">
        <f t="array" ref="S467">INDEX('Talnagögn | Numerical Data'!$1:$1048576,_xlfn.XMATCH($B467,'Talnagögn | Numerical Data'!$C:$C),_xlfn.XMATCH($B$5,'Talnagögn | Numerical Data'!$1:$1))/INDEX('Talnagögn | Numerical Data'!$1:$1048576,_xlfn.XMATCH($A467,'Talnagögn | Numerical Data'!$C:$C),_xlfn.XMATCH($B$1,'Talnagögn | Numerical Data'!$1:$1))-1</f>
        <v>-7.86169658155349E-2</v>
      </c>
      <c r="V467" s="408"/>
      <c r="Y467" s="514" t="str">
        <f>'Talnagögn | Numerical Data'!$G$133&amp;" ²"</f>
        <v>Cattle ²</v>
      </c>
      <c r="Z467" s="485" cm="1">
        <f t="array" ref="Z467">INDEX('Talnagögn | Numerical Data'!$1:$1048576,_xlfn.XMATCH($A467,'Talnagögn | Numerical Data'!$C:$C),_xlfn.XMATCH($A$1,'Talnagögn | Numerical Data'!$1:$1))</f>
        <v>183.73286362498627</v>
      </c>
      <c r="AA467" s="493">
        <f>$F$467/$F$473</f>
        <v>0.27490909742255371</v>
      </c>
      <c r="AB467" s="487" cm="1">
        <f t="array" ref="AB467">INDEX('Talnagögn | Numerical Data'!$1:$1048576,_xlfn.XMATCH($A467,'Talnagögn | Numerical Data'!$C:$C),_xlfn.XMATCH($A$1,'Talnagögn | Numerical Data'!$1:$1))-INDEX('Talnagögn | Numerical Data'!$1:$1048576,_xlfn.XMATCH($A467,'Talnagögn | Numerical Data'!$C:$C),_xlfn.XMATCH($B$3,'Talnagögn | Numerical Data'!$1:$1))</f>
        <v>-0.32456498974113401</v>
      </c>
      <c r="AC467" s="495" cm="1">
        <f t="array" ref="AC467">INDEX('Talnagögn | Numerical Data'!$1:$1048576, _xlfn.XMATCH($A467,'Talnagögn | Numerical Data'!$C:$C), _xlfn.XMATCH($A$1,'Talnagögn | Numerical Data'!$1:$1))/INDEX('Talnagögn | Numerical Data'!$1:$1048576, _xlfn.XMATCH($A467,'Talnagögn | Numerical Data'!$C:$C), _xlfn.XMATCH($B$3,'Talnagögn | Numerical Data'!$1:$1))-1</f>
        <v>-1.7633897864590686E-3</v>
      </c>
      <c r="AD467" s="486" cm="1">
        <f t="array" ref="AD467">INDEX('Talnagögn | Numerical Data'!$1:$1048576,_xlfn.XMATCH($A467,'Talnagögn | Numerical Data'!$C:$C),_xlfn.XMATCH($A$1,'Talnagögn | Numerical Data'!$1:$1))-INDEX('Talnagögn | Numerical Data'!$1:$1048576,_xlfn.XMATCH($A467,'Talnagögn | Numerical Data'!$C:$C),_xlfn.XMATCH($B$2,'Talnagögn | Numerical Data'!$1:$1))</f>
        <v>34.204336965858403</v>
      </c>
      <c r="AE467" s="493" cm="1">
        <f t="array" ref="AE467">INDEX('Talnagögn | Numerical Data'!$1:$1048576,_xlfn.XMATCH($A467,'Talnagögn | Numerical Data'!$C:$C),_xlfn.XMATCH($A$1,'Talnagögn | Numerical Data'!$1:$1))/INDEX('Talnagögn | Numerical Data'!$1:$1048576,_xlfn.XMATCH($A467,'Talnagögn | Numerical Data'!$C:$C),_xlfn.XMATCH($B$2,'Talnagögn | Numerical Data'!$1:$1))-1</f>
        <v>0.22874790336048845</v>
      </c>
      <c r="AF467" s="487" cm="1">
        <f t="array" ref="AF467">INDEX('Talnagögn | Numerical Data'!$1:$1048576,_xlfn.XMATCH($A467,'Talnagögn | Numerical Data'!$C:$C),_xlfn.XMATCH($A$1,'Talnagögn | Numerical Data'!$1:$1))-INDEX('Talnagögn | Numerical Data'!$1:$1048576,_xlfn.XMATCH($A467,'Talnagögn | Numerical Data'!$C:$C),_xlfn.XMATCH($B$1,'Talnagögn | Numerical Data'!$1:$1))</f>
        <v>7.9136028533035301</v>
      </c>
      <c r="AG467" s="481" cm="1">
        <f t="array" ref="AG467">INDEX('Talnagögn | Numerical Data'!$1:$1048576,_xlfn.XMATCH($A467,'Talnagögn | Numerical Data'!$C:$C),_xlfn.XMATCH($A$1,'Talnagögn | Numerical Data'!$1:$1))/INDEX('Talnagögn | Numerical Data'!$1:$1048576,_xlfn.XMATCH($A467,'Talnagögn | Numerical Data'!$C:$C),_xlfn.XMATCH($B$1,'Talnagögn | Numerical Data'!$1:$1))-1</f>
        <v>4.5009874450445242E-2</v>
      </c>
      <c r="AI467" s="514" t="str">
        <f>'Talnagögn | Numerical Data'!$G$133</f>
        <v>Cattle</v>
      </c>
      <c r="AJ467" s="486" cm="1">
        <f t="array" ref="AJ467">INDEX('Talnagögn | Numerical Data'!$1:$1048576,_xlfn.XMATCH($B467,'Talnagögn | Numerical Data'!$C:$C),_xlfn.XMATCH($B$4,'Talnagögn | Numerical Data'!$1:$1))-INDEX('Talnagögn | Numerical Data'!$1:$1048576,_xlfn.XMATCH($A467,'Talnagögn | Numerical Data'!$C:$C),_xlfn.XMATCH($B$2,'Talnagögn | Numerical Data'!$1:$1))</f>
        <v>33.576032599147851</v>
      </c>
      <c r="AK467" s="493" cm="1">
        <f t="array" ref="AK467">INDEX('Talnagögn | Numerical Data'!$1:$1048576,_xlfn.XMATCH($B467,'Talnagögn | Numerical Data'!$C:$C),_xlfn.XMATCH($B$4,'Talnagögn | Numerical Data'!$1:$1))/INDEX('Talnagögn | Numerical Data'!$1:$1048576,_xlfn.XMATCH($A467,'Talnagögn | Numerical Data'!$C:$C),_xlfn.XMATCH($B$2,'Talnagögn | Numerical Data'!$1:$1))-1</f>
        <v>0.22454600034740757</v>
      </c>
      <c r="AL467" s="485" cm="1">
        <f t="array" ref="AL467">INDEX('Talnagögn | Numerical Data'!$1:$1048576,_xlfn.XMATCH($B467,'Talnagögn | Numerical Data'!$C:$C),_xlfn.XMATCH($B$5,'Talnagögn | Numerical Data'!$1:$1))-INDEX('Talnagögn | Numerical Data'!$1:$1048576,_xlfn.XMATCH($A467,'Talnagögn | Numerical Data'!$C:$C),_xlfn.XMATCH($B$1,'Talnagögn | Numerical Data'!$1:$1))</f>
        <v>-13.822376813799991</v>
      </c>
      <c r="AM467" s="481" cm="1">
        <f t="array" ref="AM467">INDEX('Talnagögn | Numerical Data'!$1:$1048576,_xlfn.XMATCH($B467,'Talnagögn | Numerical Data'!$C:$C),_xlfn.XMATCH($B$5,'Talnagögn | Numerical Data'!$1:$1))/INDEX('Talnagögn | Numerical Data'!$1:$1048576,_xlfn.XMATCH($A467,'Talnagögn | Numerical Data'!$C:$C),_xlfn.XMATCH($B$1,'Talnagögn | Numerical Data'!$1:$1))-1</f>
        <v>-7.86169658155349E-2</v>
      </c>
    </row>
    <row r="468" spans="1:45" s="21" customFormat="1" ht="21" customHeight="1" thickBot="1" x14ac:dyDescent="0.45">
      <c r="A468" s="27" t="s">
        <v>92</v>
      </c>
      <c r="B468" s="27" t="s">
        <v>270</v>
      </c>
      <c r="C468" s="27" t="s">
        <v>274</v>
      </c>
      <c r="D468" s="131" t="s">
        <v>44</v>
      </c>
      <c r="E468" s="514" t="str">
        <f>'Talnagögn | Numerical Data'!$E$138&amp;" ³"</f>
        <v>Sauðfé ³</v>
      </c>
      <c r="F468" s="485" cm="1">
        <f t="array" ref="F468">INDEX('Talnagögn | Numerical Data'!$1:$1048576,_xlfn.XMATCH($A468,'Talnagögn | Numerical Data'!$C:$C),_xlfn.XMATCH($A$1,'Talnagögn | Numerical Data'!$1:$1))</f>
        <v>132.03335646721749</v>
      </c>
      <c r="G468" s="493">
        <f>$F$468/$F$473</f>
        <v>0.19755404743573005</v>
      </c>
      <c r="H468" s="487" cm="1">
        <f t="array" ref="H468">INDEX('Talnagögn | Numerical Data'!$1:$1048576,_xlfn.XMATCH($A468,'Talnagögn | Numerical Data'!$C:$C),_xlfn.XMATCH($A$1,'Talnagögn | Numerical Data'!$1:$1))-INDEX('Talnagögn | Numerical Data'!$1:$1048576,_xlfn.XMATCH($A468,'Talnagögn | Numerical Data'!$C:$C),_xlfn.XMATCH($B$3,'Talnagögn | Numerical Data'!$1:$1))</f>
        <v>-0.12692465524551722</v>
      </c>
      <c r="I468" s="495" cm="1">
        <f t="array" ref="I468">INDEX('Talnagögn | Numerical Data'!$1:$1048576, _xlfn.XMATCH($A468,'Talnagögn | Numerical Data'!$C:$C), _xlfn.XMATCH($A$1,'Talnagögn | Numerical Data'!$1:$1))/INDEX('Talnagögn | Numerical Data'!$1:$1048576, _xlfn.XMATCH($A468,'Talnagögn | Numerical Data'!$C:$C), _xlfn.XMATCH($B$3,'Talnagögn | Numerical Data'!$1:$1))-1</f>
        <v>-9.6038427103450896E-4</v>
      </c>
      <c r="J468" s="486" cm="1">
        <f t="array" ref="J468">INDEX('Talnagögn | Numerical Data'!$1:$1048576,_xlfn.XMATCH($A468,'Talnagögn | Numerical Data'!$C:$C),_xlfn.XMATCH($A$1,'Talnagögn | Numerical Data'!$1:$1))-INDEX('Talnagögn | Numerical Data'!$1:$1048576,_xlfn.XMATCH($A468,'Talnagögn | Numerical Data'!$C:$C),_xlfn.XMATCH($B$2,'Talnagögn | Numerical Data'!$1:$1))</f>
        <v>-42.456873030269833</v>
      </c>
      <c r="K468" s="493" cm="1">
        <f t="array" ref="K468">INDEX('Talnagögn | Numerical Data'!$1:$1048576,_xlfn.XMATCH($A468,'Talnagögn | Numerical Data'!$C:$C),_xlfn.XMATCH($A$1,'Talnagögn | Numerical Data'!$1:$1))/INDEX('Talnagögn | Numerical Data'!$1:$1048576,_xlfn.XMATCH($A468,'Talnagögn | Numerical Data'!$C:$C),_xlfn.XMATCH($B$2,'Talnagögn | Numerical Data'!$1:$1))-1</f>
        <v>-0.24331948644082224</v>
      </c>
      <c r="L468" s="486" cm="1">
        <f t="array" ref="L468">INDEX('Talnagögn | Numerical Data'!$1:$1048576,_xlfn.XMATCH($A468,'Talnagögn | Numerical Data'!$C:$C),_xlfn.XMATCH($A$1,'Talnagögn | Numerical Data'!$1:$1))-INDEX('Talnagögn | Numerical Data'!$1:$1048576,_xlfn.XMATCH($A468,'Talnagögn | Numerical Data'!$C:$C),_xlfn.XMATCH($B$1,'Talnagögn | Numerical Data'!$1:$1))</f>
        <v>-85.145396127016568</v>
      </c>
      <c r="M468" s="480" cm="1">
        <f t="array" ref="M468">INDEX('Talnagögn | Numerical Data'!$1:$1048576,_xlfn.XMATCH($A468,'Talnagögn | Numerical Data'!$C:$C),_xlfn.XMATCH($A$1,'Talnagögn | Numerical Data'!$1:$1))/INDEX('Talnagögn | Numerical Data'!$1:$1048576,_xlfn.XMATCH($A468,'Talnagögn | Numerical Data'!$C:$C),_xlfn.XMATCH($B$1,'Talnagögn | Numerical Data'!$1:$1))-1</f>
        <v>-0.39205214649196363</v>
      </c>
      <c r="O468" s="514" t="str">
        <f>'Talnagögn | Numerical Data'!$E$138</f>
        <v>Sauðfé</v>
      </c>
      <c r="P468" s="486" cm="1">
        <f t="array" ref="P468">INDEX('Talnagögn | Numerical Data'!$1:$1048576,_xlfn.XMATCH($B468,'Talnagögn | Numerical Data'!$C:$C),_xlfn.XMATCH($B$4,'Talnagögn | Numerical Data'!$1:$1))-INDEX('Talnagögn | Numerical Data'!$1:$1048576,_xlfn.XMATCH($A468,'Talnagögn | Numerical Data'!$C:$C),_xlfn.XMATCH($B$2,'Talnagögn | Numerical Data'!$1:$1))</f>
        <v>-47.66439388115036</v>
      </c>
      <c r="Q468" s="493" cm="1">
        <f t="array" ref="Q468">INDEX('Talnagögn | Numerical Data'!$1:$1048576,_xlfn.XMATCH($B468,'Talnagögn | Numerical Data'!$C:$C),_xlfn.XMATCH($B$4,'Talnagögn | Numerical Data'!$1:$1))/INDEX('Talnagögn | Numerical Data'!$1:$1048576,_xlfn.XMATCH($A468,'Talnagögn | Numerical Data'!$C:$C),_xlfn.XMATCH($B$2,'Talnagögn | Numerical Data'!$1:$1))-1</f>
        <v>-0.27316368382584266</v>
      </c>
      <c r="R468" s="485" cm="1">
        <f t="array" ref="R468">INDEX('Talnagögn | Numerical Data'!$1:$1048576,_xlfn.XMATCH($B468,'Talnagögn | Numerical Data'!$C:$C),_xlfn.XMATCH($B$5,'Talnagögn | Numerical Data'!$1:$1))-INDEX('Talnagögn | Numerical Data'!$1:$1048576,_xlfn.XMATCH($A468,'Talnagögn | Numerical Data'!$C:$C),_xlfn.XMATCH($B$1,'Talnagögn | Numerical Data'!$1:$1))</f>
        <v>-123.06738386709583</v>
      </c>
      <c r="S468" s="480" cm="1">
        <f t="array" ref="S468">INDEX('Talnagögn | Numerical Data'!$1:$1048576,_xlfn.XMATCH($B468,'Talnagögn | Numerical Data'!$C:$C),_xlfn.XMATCH($B$5,'Talnagögn | Numerical Data'!$1:$1))/INDEX('Talnagögn | Numerical Data'!$1:$1048576,_xlfn.XMATCH($A468,'Talnagögn | Numerical Data'!$C:$C),_xlfn.XMATCH($B$1,'Talnagögn | Numerical Data'!$1:$1))-1</f>
        <v>-0.56666401476680728</v>
      </c>
      <c r="V468" s="408"/>
      <c r="Y468" s="514" t="str">
        <f>'Talnagögn | Numerical Data'!$G$138&amp;" ³"</f>
        <v>Sheep ³</v>
      </c>
      <c r="Z468" s="485" cm="1">
        <f t="array" ref="Z468">INDEX('Talnagögn | Numerical Data'!$1:$1048576,_xlfn.XMATCH($A468,'Talnagögn | Numerical Data'!$C:$C),_xlfn.XMATCH($A$1,'Talnagögn | Numerical Data'!$1:$1))</f>
        <v>132.03335646721749</v>
      </c>
      <c r="AA468" s="493">
        <f>$F$468/$F$473</f>
        <v>0.19755404743573005</v>
      </c>
      <c r="AB468" s="487" cm="1">
        <f t="array" ref="AB468">INDEX('Talnagögn | Numerical Data'!$1:$1048576,_xlfn.XMATCH($A468,'Talnagögn | Numerical Data'!$C:$C),_xlfn.XMATCH($A$1,'Talnagögn | Numerical Data'!$1:$1))-INDEX('Talnagögn | Numerical Data'!$1:$1048576,_xlfn.XMATCH($A468,'Talnagögn | Numerical Data'!$C:$C),_xlfn.XMATCH($B$3,'Talnagögn | Numerical Data'!$1:$1))</f>
        <v>-0.12692465524551722</v>
      </c>
      <c r="AC468" s="495" cm="1">
        <f t="array" ref="AC468">INDEX('Talnagögn | Numerical Data'!$1:$1048576, _xlfn.XMATCH($A468,'Talnagögn | Numerical Data'!$C:$C), _xlfn.XMATCH($A$1,'Talnagögn | Numerical Data'!$1:$1))/INDEX('Talnagögn | Numerical Data'!$1:$1048576, _xlfn.XMATCH($A468,'Talnagögn | Numerical Data'!$C:$C), _xlfn.XMATCH($B$3,'Talnagögn | Numerical Data'!$1:$1))-1</f>
        <v>-9.6038427103450896E-4</v>
      </c>
      <c r="AD468" s="486" cm="1">
        <f t="array" ref="AD468">INDEX('Talnagögn | Numerical Data'!$1:$1048576,_xlfn.XMATCH($A468,'Talnagögn | Numerical Data'!$C:$C),_xlfn.XMATCH($A$1,'Talnagögn | Numerical Data'!$1:$1))-INDEX('Talnagögn | Numerical Data'!$1:$1048576,_xlfn.XMATCH($A468,'Talnagögn | Numerical Data'!$C:$C),_xlfn.XMATCH($B$2,'Talnagögn | Numerical Data'!$1:$1))</f>
        <v>-42.456873030269833</v>
      </c>
      <c r="AE468" s="493" cm="1">
        <f t="array" ref="AE468">INDEX('Talnagögn | Numerical Data'!$1:$1048576,_xlfn.XMATCH($A468,'Talnagögn | Numerical Data'!$C:$C),_xlfn.XMATCH($A$1,'Talnagögn | Numerical Data'!$1:$1))/INDEX('Talnagögn | Numerical Data'!$1:$1048576,_xlfn.XMATCH($A468,'Talnagögn | Numerical Data'!$C:$C),_xlfn.XMATCH($B$2,'Talnagögn | Numerical Data'!$1:$1))-1</f>
        <v>-0.24331948644082224</v>
      </c>
      <c r="AF468" s="486" cm="1">
        <f t="array" ref="AF468">INDEX('Talnagögn | Numerical Data'!$1:$1048576,_xlfn.XMATCH($A468,'Talnagögn | Numerical Data'!$C:$C),_xlfn.XMATCH($A$1,'Talnagögn | Numerical Data'!$1:$1))-INDEX('Talnagögn | Numerical Data'!$1:$1048576,_xlfn.XMATCH($A468,'Talnagögn | Numerical Data'!$C:$C),_xlfn.XMATCH($B$1,'Talnagögn | Numerical Data'!$1:$1))</f>
        <v>-85.145396127016568</v>
      </c>
      <c r="AG468" s="480" cm="1">
        <f t="array" ref="AG468">INDEX('Talnagögn | Numerical Data'!$1:$1048576,_xlfn.XMATCH($A468,'Talnagögn | Numerical Data'!$C:$C),_xlfn.XMATCH($A$1,'Talnagögn | Numerical Data'!$1:$1))/INDEX('Talnagögn | Numerical Data'!$1:$1048576,_xlfn.XMATCH($A468,'Talnagögn | Numerical Data'!$C:$C),_xlfn.XMATCH($B$1,'Talnagögn | Numerical Data'!$1:$1))-1</f>
        <v>-0.39205214649196363</v>
      </c>
      <c r="AI468" s="514" t="str">
        <f>'Talnagögn | Numerical Data'!$G$138</f>
        <v>Sheep</v>
      </c>
      <c r="AJ468" s="486" cm="1">
        <f t="array" ref="AJ468">INDEX('Talnagögn | Numerical Data'!$1:$1048576,_xlfn.XMATCH($B468,'Talnagögn | Numerical Data'!$C:$C),_xlfn.XMATCH($B$4,'Talnagögn | Numerical Data'!$1:$1))-INDEX('Talnagögn | Numerical Data'!$1:$1048576,_xlfn.XMATCH($A468,'Talnagögn | Numerical Data'!$C:$C),_xlfn.XMATCH($B$2,'Talnagögn | Numerical Data'!$1:$1))</f>
        <v>-47.66439388115036</v>
      </c>
      <c r="AK468" s="493" cm="1">
        <f t="array" ref="AK468">INDEX('Talnagögn | Numerical Data'!$1:$1048576,_xlfn.XMATCH($B468,'Talnagögn | Numerical Data'!$C:$C),_xlfn.XMATCH($B$4,'Talnagögn | Numerical Data'!$1:$1))/INDEX('Talnagögn | Numerical Data'!$1:$1048576,_xlfn.XMATCH($A468,'Talnagögn | Numerical Data'!$C:$C),_xlfn.XMATCH($B$2,'Talnagögn | Numerical Data'!$1:$1))-1</f>
        <v>-0.27316368382584266</v>
      </c>
      <c r="AL468" s="485" cm="1">
        <f t="array" ref="AL468">INDEX('Talnagögn | Numerical Data'!$1:$1048576,_xlfn.XMATCH($B468,'Talnagögn | Numerical Data'!$C:$C),_xlfn.XMATCH($B$5,'Talnagögn | Numerical Data'!$1:$1))-INDEX('Talnagögn | Numerical Data'!$1:$1048576,_xlfn.XMATCH($A468,'Talnagögn | Numerical Data'!$C:$C),_xlfn.XMATCH($B$1,'Talnagögn | Numerical Data'!$1:$1))</f>
        <v>-123.06738386709583</v>
      </c>
      <c r="AM468" s="480" cm="1">
        <f t="array" ref="AM468">INDEX('Talnagögn | Numerical Data'!$1:$1048576,_xlfn.XMATCH($B468,'Talnagögn | Numerical Data'!$C:$C),_xlfn.XMATCH($B$5,'Talnagögn | Numerical Data'!$1:$1))/INDEX('Talnagögn | Numerical Data'!$1:$1048576,_xlfn.XMATCH($A468,'Talnagögn | Numerical Data'!$C:$C),_xlfn.XMATCH($B$1,'Talnagögn | Numerical Data'!$1:$1))-1</f>
        <v>-0.56666401476680728</v>
      </c>
    </row>
    <row r="469" spans="1:45" s="21" customFormat="1" ht="21" customHeight="1" thickTop="1" thickBot="1" x14ac:dyDescent="0.45">
      <c r="A469" s="26" t="s">
        <v>402</v>
      </c>
      <c r="B469" s="27" t="s">
        <v>413</v>
      </c>
      <c r="C469" s="27" t="s">
        <v>414</v>
      </c>
      <c r="D469" s="131" t="s">
        <v>44</v>
      </c>
      <c r="E469" s="513" t="str">
        <f>'Talnagögn | Numerical Data'!$E$122&amp;" ⁴"</f>
        <v>Tilbúinn áburður og kölkun ⁴</v>
      </c>
      <c r="F469" s="485" cm="1">
        <f t="array" ref="F469">INDEX('Talnagögn | Numerical Data'!$1:$1048576,_xlfn.XMATCH($A469,'Talnagögn | Numerical Data'!$C:$C),_xlfn.XMATCH($A$1,'Talnagögn | Numerical Data'!$1:$1))</f>
        <v>66.57016773211484</v>
      </c>
      <c r="G469" s="492">
        <f>$F$469/$F$473</f>
        <v>9.9605178765716132E-2</v>
      </c>
      <c r="H469" s="487" cm="1">
        <f t="array" ref="H469">INDEX('Talnagögn | Numerical Data'!$1:$1048576,_xlfn.XMATCH($A469,'Talnagögn | Numerical Data'!$C:$C),_xlfn.XMATCH($A$1,'Talnagögn | Numerical Data'!$1:$1))-INDEX('Talnagögn | Numerical Data'!$1:$1048576,_xlfn.XMATCH($A469,'Talnagögn | Numerical Data'!$C:$C),_xlfn.XMATCH($B$3,'Talnagögn | Numerical Data'!$1:$1))</f>
        <v>1.6426522184956269</v>
      </c>
      <c r="I469" s="494" cm="1">
        <f t="array" ref="I469">INDEX('Talnagögn | Numerical Data'!$1:$1048576, _xlfn.XMATCH($A469,'Talnagögn | Numerical Data'!$C:$C), _xlfn.XMATCH($A$1,'Talnagögn | Numerical Data'!$1:$1))/INDEX('Talnagögn | Numerical Data'!$1:$1048576, _xlfn.XMATCH($A469,'Talnagögn | Numerical Data'!$C:$C), _xlfn.XMATCH($B$3,'Talnagögn | Numerical Data'!$1:$1))-1</f>
        <v>2.5299785545483511E-2</v>
      </c>
      <c r="J469" s="487" cm="1">
        <f t="array" ref="J469">INDEX('Talnagögn | Numerical Data'!$1:$1048576,_xlfn.XMATCH($A469,'Talnagögn | Numerical Data'!$C:$C),_xlfn.XMATCH($A$1,'Talnagögn | Numerical Data'!$1:$1))-INDEX('Talnagögn | Numerical Data'!$1:$1048576,_xlfn.XMATCH($A469,'Talnagögn | Numerical Data'!$C:$C),_xlfn.XMATCH($B$2,'Talnagögn | Numerical Data'!$1:$1))</f>
        <v>8.7206619686334719</v>
      </c>
      <c r="K469" s="492" cm="1">
        <f t="array" ref="K469">INDEX('Talnagögn | Numerical Data'!$1:$1048576,_xlfn.XMATCH($A469,'Talnagögn | Numerical Data'!$C:$C),_xlfn.XMATCH($A$1,'Talnagögn | Numerical Data'!$1:$1))/INDEX('Talnagögn | Numerical Data'!$1:$1048576,_xlfn.XMATCH($A469,'Talnagögn | Numerical Data'!$C:$C),_xlfn.XMATCH($B$2,'Talnagögn | Numerical Data'!$1:$1))-1</f>
        <v>0.15074738934310061</v>
      </c>
      <c r="L469" s="487" cm="1">
        <f t="array" ref="L469">INDEX('Talnagögn | Numerical Data'!$1:$1048576,_xlfn.XMATCH($A469,'Talnagögn | Numerical Data'!$C:$C),_xlfn.XMATCH($A$1,'Talnagögn | Numerical Data'!$1:$1))-INDEX('Talnagögn | Numerical Data'!$1:$1048576,_xlfn.XMATCH($A469,'Talnagögn | Numerical Data'!$C:$C),_xlfn.XMATCH($B$1,'Talnagögn | Numerical Data'!$1:$1))</f>
        <v>-1.600981066577674</v>
      </c>
      <c r="M469" s="481" cm="1">
        <f t="array" ref="M469">INDEX('Talnagögn | Numerical Data'!$1:$1048576,_xlfn.XMATCH($A469,'Talnagögn | Numerical Data'!$C:$C),_xlfn.XMATCH($A$1,'Talnagögn | Numerical Data'!$1:$1))/INDEX('Talnagögn | Numerical Data'!$1:$1048576,_xlfn.XMATCH($A469,'Talnagögn | Numerical Data'!$C:$C),_xlfn.XMATCH($B$1,'Talnagögn | Numerical Data'!$1:$1))-1</f>
        <v>-2.3484730634440787E-2</v>
      </c>
      <c r="O469" s="513" t="str">
        <f>'Talnagögn | Numerical Data'!$E$122</f>
        <v>Tilbúinn áburður og kölkun</v>
      </c>
      <c r="P469" s="487" cm="1">
        <f t="array" ref="P469">INDEX('Talnagögn | Numerical Data'!$1:$1048576,_xlfn.XMATCH($B469,'Talnagögn | Numerical Data'!$C:$C),_xlfn.XMATCH($B$4,'Talnagögn | Numerical Data'!$1:$1))-INDEX('Talnagögn | Numerical Data'!$1:$1048576,_xlfn.XMATCH($A469,'Talnagögn | Numerical Data'!$C:$C),_xlfn.XMATCH($B$2,'Talnagögn | Numerical Data'!$1:$1))</f>
        <v>1.2621387192333984</v>
      </c>
      <c r="Q469" s="494" cm="1">
        <f t="array" ref="Q469">INDEX('Talnagögn | Numerical Data'!$1:$1048576,_xlfn.XMATCH($B469,'Talnagögn | Numerical Data'!$C:$C),_xlfn.XMATCH($B$4,'Talnagögn | Numerical Data'!$1:$1))/INDEX('Talnagögn | Numerical Data'!$1:$1048576,_xlfn.XMATCH($A469,'Talnagögn | Numerical Data'!$C:$C),_xlfn.XMATCH($B$2,'Talnagögn | Numerical Data'!$1:$1))-1</f>
        <v>2.1817623203103542E-2</v>
      </c>
      <c r="R469" s="486" cm="1">
        <f t="array" ref="R469">INDEX('Talnagögn | Numerical Data'!$1:$1048576,_xlfn.XMATCH($B469,'Talnagögn | Numerical Data'!$C:$C),_xlfn.XMATCH($B$5,'Talnagögn | Numerical Data'!$1:$1))-INDEX('Talnagögn | Numerical Data'!$1:$1048576,_xlfn.XMATCH($A469,'Talnagögn | Numerical Data'!$C:$C),_xlfn.XMATCH($B$1,'Talnagögn | Numerical Data'!$1:$1))</f>
        <v>-9.850078009967568</v>
      </c>
      <c r="S469" s="684" cm="1">
        <f t="array" ref="S469">INDEX('Talnagögn | Numerical Data'!$1:$1048576,_xlfn.XMATCH($B469,'Talnagögn | Numerical Data'!$C:$C),_xlfn.XMATCH($B$5,'Talnagögn | Numerical Data'!$1:$1))/INDEX('Talnagögn | Numerical Data'!$1:$1048576,_xlfn.XMATCH($A469,'Talnagögn | Numerical Data'!$C:$C),_xlfn.XMATCH($B$1,'Talnagögn | Numerical Data'!$1:$1))-1</f>
        <v>-0.14449042129324496</v>
      </c>
      <c r="V469" s="408"/>
      <c r="Y469" s="513" t="str">
        <f>'Talnagögn | Numerical Data'!$G$122&amp;" ⁴"</f>
        <v>Inorganic Fertilizer Use and Liming ⁴</v>
      </c>
      <c r="Z469" s="485" cm="1">
        <f t="array" ref="Z469">INDEX('Talnagögn | Numerical Data'!$1:$1048576,_xlfn.XMATCH($A469,'Talnagögn | Numerical Data'!$C:$C),_xlfn.XMATCH($A$1,'Talnagögn | Numerical Data'!$1:$1))</f>
        <v>66.57016773211484</v>
      </c>
      <c r="AA469" s="492">
        <f>$F$469/$F$473</f>
        <v>9.9605178765716132E-2</v>
      </c>
      <c r="AB469" s="487" cm="1">
        <f t="array" ref="AB469">INDEX('Talnagögn | Numerical Data'!$1:$1048576,_xlfn.XMATCH($A469,'Talnagögn | Numerical Data'!$C:$C),_xlfn.XMATCH($A$1,'Talnagögn | Numerical Data'!$1:$1))-INDEX('Talnagögn | Numerical Data'!$1:$1048576,_xlfn.XMATCH($A469,'Talnagögn | Numerical Data'!$C:$C),_xlfn.XMATCH($B$3,'Talnagögn | Numerical Data'!$1:$1))</f>
        <v>1.6426522184956269</v>
      </c>
      <c r="AC469" s="494" cm="1">
        <f t="array" ref="AC469">INDEX('Talnagögn | Numerical Data'!$1:$1048576, _xlfn.XMATCH($A469,'Talnagögn | Numerical Data'!$C:$C), _xlfn.XMATCH($A$1,'Talnagögn | Numerical Data'!$1:$1))/INDEX('Talnagögn | Numerical Data'!$1:$1048576, _xlfn.XMATCH($A469,'Talnagögn | Numerical Data'!$C:$C), _xlfn.XMATCH($B$3,'Talnagögn | Numerical Data'!$1:$1))-1</f>
        <v>2.5299785545483511E-2</v>
      </c>
      <c r="AD469" s="487" cm="1">
        <f t="array" ref="AD469">INDEX('Talnagögn | Numerical Data'!$1:$1048576,_xlfn.XMATCH($A469,'Talnagögn | Numerical Data'!$C:$C),_xlfn.XMATCH($A$1,'Talnagögn | Numerical Data'!$1:$1))-INDEX('Talnagögn | Numerical Data'!$1:$1048576,_xlfn.XMATCH($A469,'Talnagögn | Numerical Data'!$C:$C),_xlfn.XMATCH($B$2,'Talnagögn | Numerical Data'!$1:$1))</f>
        <v>8.7206619686334719</v>
      </c>
      <c r="AE469" s="492" cm="1">
        <f t="array" ref="AE469">INDEX('Talnagögn | Numerical Data'!$1:$1048576,_xlfn.XMATCH($A469,'Talnagögn | Numerical Data'!$C:$C),_xlfn.XMATCH($A$1,'Talnagögn | Numerical Data'!$1:$1))/INDEX('Talnagögn | Numerical Data'!$1:$1048576,_xlfn.XMATCH($A469,'Talnagögn | Numerical Data'!$C:$C),_xlfn.XMATCH($B$2,'Talnagögn | Numerical Data'!$1:$1))-1</f>
        <v>0.15074738934310061</v>
      </c>
      <c r="AF469" s="487" cm="1">
        <f t="array" ref="AF469">INDEX('Talnagögn | Numerical Data'!$1:$1048576,_xlfn.XMATCH($A469,'Talnagögn | Numerical Data'!$C:$C),_xlfn.XMATCH($A$1,'Talnagögn | Numerical Data'!$1:$1))-INDEX('Talnagögn | Numerical Data'!$1:$1048576,_xlfn.XMATCH($A469,'Talnagögn | Numerical Data'!$C:$C),_xlfn.XMATCH($B$1,'Talnagögn | Numerical Data'!$1:$1))</f>
        <v>-1.600981066577674</v>
      </c>
      <c r="AG469" s="480" cm="1">
        <f t="array" ref="AG469">INDEX('Talnagögn | Numerical Data'!$1:$1048576,_xlfn.XMATCH($A469,'Talnagögn | Numerical Data'!$C:$C),_xlfn.XMATCH($A$1,'Talnagögn | Numerical Data'!$1:$1))/INDEX('Talnagögn | Numerical Data'!$1:$1048576,_xlfn.XMATCH($A469,'Talnagögn | Numerical Data'!$C:$C),_xlfn.XMATCH($B$1,'Talnagögn | Numerical Data'!$1:$1))-1</f>
        <v>-2.3484730634440787E-2</v>
      </c>
      <c r="AI469" s="513" t="str">
        <f>'Talnagögn | Numerical Data'!$G$122</f>
        <v>Inorganic Fertilizer Use and Liming</v>
      </c>
      <c r="AJ469" s="487" cm="1">
        <f t="array" ref="AJ469">INDEX('Talnagögn | Numerical Data'!$1:$1048576,_xlfn.XMATCH($B469,'Talnagögn | Numerical Data'!$C:$C),_xlfn.XMATCH($B$4,'Talnagögn | Numerical Data'!$1:$1))-INDEX('Talnagögn | Numerical Data'!$1:$1048576,_xlfn.XMATCH($A469,'Talnagögn | Numerical Data'!$C:$C),_xlfn.XMATCH($B$2,'Talnagögn | Numerical Data'!$1:$1))</f>
        <v>1.2621387192333984</v>
      </c>
      <c r="AK469" s="494" cm="1">
        <f t="array" ref="AK469">INDEX('Talnagögn | Numerical Data'!$1:$1048576,_xlfn.XMATCH($B469,'Talnagögn | Numerical Data'!$C:$C),_xlfn.XMATCH($B$4,'Talnagögn | Numerical Data'!$1:$1))/INDEX('Talnagögn | Numerical Data'!$1:$1048576,_xlfn.XMATCH($A469,'Talnagögn | Numerical Data'!$C:$C),_xlfn.XMATCH($B$2,'Talnagögn | Numerical Data'!$1:$1))-1</f>
        <v>2.1817623203103542E-2</v>
      </c>
      <c r="AL469" s="486" cm="1">
        <f t="array" ref="AL469">INDEX('Talnagögn | Numerical Data'!$1:$1048576,_xlfn.XMATCH($B469,'Talnagögn | Numerical Data'!$C:$C),_xlfn.XMATCH($B$5,'Talnagögn | Numerical Data'!$1:$1))-INDEX('Talnagögn | Numerical Data'!$1:$1048576,_xlfn.XMATCH($A469,'Talnagögn | Numerical Data'!$C:$C),_xlfn.XMATCH($B$1,'Talnagögn | Numerical Data'!$1:$1))</f>
        <v>-9.850078009967568</v>
      </c>
      <c r="AM469" s="684" cm="1">
        <f t="array" ref="AM469">INDEX('Talnagögn | Numerical Data'!$1:$1048576,_xlfn.XMATCH($B469,'Talnagögn | Numerical Data'!$C:$C),_xlfn.XMATCH($B$5,'Talnagögn | Numerical Data'!$1:$1))/INDEX('Talnagögn | Numerical Data'!$1:$1048576,_xlfn.XMATCH($A469,'Talnagögn | Numerical Data'!$C:$C),_xlfn.XMATCH($B$1,'Talnagögn | Numerical Data'!$1:$1))-1</f>
        <v>-0.14449042129324496</v>
      </c>
    </row>
    <row r="470" spans="1:45" s="21" customFormat="1" ht="21" customHeight="1" thickTop="1" x14ac:dyDescent="0.4">
      <c r="A470" s="26" t="s">
        <v>405</v>
      </c>
      <c r="B470" s="26" t="s">
        <v>415</v>
      </c>
      <c r="C470" s="26" t="s">
        <v>416</v>
      </c>
      <c r="D470" s="131"/>
      <c r="E470" s="513" t="str">
        <f>'Talnagögn | Numerical Data'!$E$128&amp;" ⁴"</f>
        <v>Lífrænn áburður ⁴</v>
      </c>
      <c r="F470" s="485" cm="1">
        <f t="array" ref="F470">INDEX('Talnagögn | Numerical Data'!$1:$1048576,_xlfn.XMATCH($A470,'Talnagögn | Numerical Data'!$C:$C),_xlfn.XMATCH($A$1,'Talnagögn | Numerical Data'!$1:$1))</f>
        <v>32.395897460630628</v>
      </c>
      <c r="G470" s="494">
        <f>$F$470/$F$473</f>
        <v>4.8472150030129002E-2</v>
      </c>
      <c r="H470" s="512" cm="1">
        <f t="array" ref="H470">INDEX('Talnagögn | Numerical Data'!$1:$1048576,_xlfn.XMATCH($A470,'Talnagögn | Numerical Data'!$C:$C),_xlfn.XMATCH($A$1,'Talnagögn | Numerical Data'!$1:$1))-INDEX('Talnagögn | Numerical Data'!$1:$1048576,_xlfn.XMATCH($A470,'Talnagögn | Numerical Data'!$C:$C),_xlfn.XMATCH($B$3,'Talnagögn | Numerical Data'!$1:$1))</f>
        <v>-0.59292745317012674</v>
      </c>
      <c r="I470" s="494" cm="1">
        <f t="array" ref="I470">INDEX('Talnagögn | Numerical Data'!$1:$1048576, _xlfn.XMATCH($A470,'Talnagögn | Numerical Data'!$C:$C), _xlfn.XMATCH($A$1,'Talnagögn | Numerical Data'!$1:$1))/INDEX('Talnagögn | Numerical Data'!$1:$1048576, _xlfn.XMATCH($A470,'Talnagögn | Numerical Data'!$C:$C), _xlfn.XMATCH($B$3,'Talnagögn | Numerical Data'!$1:$1))-1</f>
        <v>-1.7973585137374126E-2</v>
      </c>
      <c r="J470" s="512" cm="1">
        <f t="array" ref="J470">INDEX('Talnagögn | Numerical Data'!$1:$1048576,_xlfn.XMATCH($A470,'Talnagögn | Numerical Data'!$C:$C),_xlfn.XMATCH($A$1,'Talnagögn | Numerical Data'!$1:$1))-INDEX('Talnagögn | Numerical Data'!$1:$1048576,_xlfn.XMATCH($A470,'Talnagögn | Numerical Data'!$C:$C),_xlfn.XMATCH($B$2,'Talnagögn | Numerical Data'!$1:$1))</f>
        <v>-0.16356126063479337</v>
      </c>
      <c r="K470" s="915" cm="1">
        <f t="array" ref="K470">INDEX('Talnagögn | Numerical Data'!$1:$1048576,_xlfn.XMATCH($A470,'Talnagögn | Numerical Data'!$C:$C),_xlfn.XMATCH($A$1,'Talnagögn | Numerical Data'!$1:$1))/INDEX('Talnagögn | Numerical Data'!$1:$1048576,_xlfn.XMATCH($A470,'Talnagögn | Numerical Data'!$C:$C),_xlfn.XMATCH($B$2,'Talnagögn | Numerical Data'!$1:$1))-1</f>
        <v>-5.0234637508874691E-3</v>
      </c>
      <c r="L470" s="487" cm="1">
        <f t="array" ref="L470">INDEX('Talnagögn | Numerical Data'!$1:$1048576,_xlfn.XMATCH($A470,'Talnagögn | Numerical Data'!$C:$C),_xlfn.XMATCH($A$1,'Talnagögn | Numerical Data'!$1:$1))-INDEX('Talnagögn | Numerical Data'!$1:$1048576,_xlfn.XMATCH($A470,'Talnagögn | Numerical Data'!$C:$C),_xlfn.XMATCH($B$1,'Talnagögn | Numerical Data'!$1:$1))</f>
        <v>-2.7650998382352654</v>
      </c>
      <c r="M470" s="481" cm="1">
        <f t="array" ref="M470">INDEX('Talnagögn | Numerical Data'!$1:$1048576,_xlfn.XMATCH($A470,'Talnagögn | Numerical Data'!$C:$C),_xlfn.XMATCH($A$1,'Talnagögn | Numerical Data'!$1:$1))/INDEX('Talnagögn | Numerical Data'!$1:$1048576,_xlfn.XMATCH($A470,'Talnagögn | Numerical Data'!$C:$C),_xlfn.XMATCH($B$1,'Talnagögn | Numerical Data'!$1:$1))-1</f>
        <v>-7.8641109486517702E-2</v>
      </c>
      <c r="O470" s="513" t="str">
        <f>'Talnagögn | Numerical Data'!$E$128</f>
        <v>Lífrænn áburður</v>
      </c>
      <c r="P470" s="512" cm="1">
        <f t="array" ref="P470">INDEX('Talnagögn | Numerical Data'!$1:$1048576,_xlfn.XMATCH($B470,'Talnagögn | Numerical Data'!$C:$C),_xlfn.XMATCH($B$4,'Talnagögn | Numerical Data'!$1:$1))-INDEX('Talnagögn | Numerical Data'!$1:$1048576,_xlfn.XMATCH($A470,'Talnagögn | Numerical Data'!$C:$C),_xlfn.XMATCH($B$2,'Talnagögn | Numerical Data'!$1:$1))</f>
        <v>0.38172915942637076</v>
      </c>
      <c r="Q470" s="915" cm="1">
        <f t="array" ref="Q470">INDEX('Talnagögn | Numerical Data'!$1:$1048576,_xlfn.XMATCH($B470,'Talnagögn | Numerical Data'!$C:$C),_xlfn.XMATCH($B$4,'Talnagögn | Numerical Data'!$1:$1))/INDEX('Talnagögn | Numerical Data'!$1:$1048576,_xlfn.XMATCH($A470,'Talnagögn | Numerical Data'!$C:$C),_xlfn.XMATCH($B$2,'Talnagögn | Numerical Data'!$1:$1))-1</f>
        <v>1.1724063434047638E-2</v>
      </c>
      <c r="R470" s="487" cm="1">
        <f t="array" ref="R470">INDEX('Talnagögn | Numerical Data'!$1:$1048576,_xlfn.XMATCH($B470,'Talnagögn | Numerical Data'!$C:$C),_xlfn.XMATCH($B$5,'Talnagögn | Numerical Data'!$1:$1))-INDEX('Talnagögn | Numerical Data'!$1:$1048576,_xlfn.XMATCH($A470,'Talnagögn | Numerical Data'!$C:$C),_xlfn.XMATCH($B$1,'Talnagögn | Numerical Data'!$1:$1))</f>
        <v>-3.0465903356102046</v>
      </c>
      <c r="S470" s="917" cm="1">
        <f t="array" ref="S470">INDEX('Talnagögn | Numerical Data'!$1:$1048576,_xlfn.XMATCH($B470,'Talnagögn | Numerical Data'!$C:$C),_xlfn.XMATCH($B$5,'Talnagögn | Numerical Data'!$1:$1))/INDEX('Talnagögn | Numerical Data'!$1:$1048576,_xlfn.XMATCH($A470,'Talnagögn | Numerical Data'!$C:$C),_xlfn.XMATCH($B$1,'Talnagögn | Numerical Data'!$1:$1))-1</f>
        <v>-8.6646869248741987E-2</v>
      </c>
      <c r="V470" s="408"/>
      <c r="Y470" s="513" t="str">
        <f>'Talnagögn | Numerical Data'!$G$128&amp;" ⁴"</f>
        <v>Organic Fertilizer Use ⁴</v>
      </c>
      <c r="Z470" s="485" cm="1">
        <f t="array" ref="Z470">INDEX('Talnagögn | Numerical Data'!$1:$1048576,_xlfn.XMATCH($A470,'Talnagögn | Numerical Data'!$C:$C),_xlfn.XMATCH($A$1,'Talnagögn | Numerical Data'!$1:$1))</f>
        <v>32.395897460630628</v>
      </c>
      <c r="AA470" s="494">
        <f>$F$470/$F$473</f>
        <v>4.8472150030129002E-2</v>
      </c>
      <c r="AB470" s="512" cm="1">
        <f t="array" ref="AB470">INDEX('Talnagögn | Numerical Data'!$1:$1048576,_xlfn.XMATCH($A470,'Talnagögn | Numerical Data'!$C:$C),_xlfn.XMATCH($A$1,'Talnagögn | Numerical Data'!$1:$1))-INDEX('Talnagögn | Numerical Data'!$1:$1048576,_xlfn.XMATCH($A470,'Talnagögn | Numerical Data'!$C:$C),_xlfn.XMATCH($B$3,'Talnagögn | Numerical Data'!$1:$1))</f>
        <v>-0.59292745317012674</v>
      </c>
      <c r="AC470" s="494" cm="1">
        <f t="array" ref="AC470">INDEX('Talnagögn | Numerical Data'!$1:$1048576, _xlfn.XMATCH($A470,'Talnagögn | Numerical Data'!$C:$C), _xlfn.XMATCH($A$1,'Talnagögn | Numerical Data'!$1:$1))/INDEX('Talnagögn | Numerical Data'!$1:$1048576, _xlfn.XMATCH($A470,'Talnagögn | Numerical Data'!$C:$C), _xlfn.XMATCH($B$3,'Talnagögn | Numerical Data'!$1:$1))-1</f>
        <v>-1.7973585137374126E-2</v>
      </c>
      <c r="AD470" s="512" cm="1">
        <f t="array" ref="AD470">INDEX('Talnagögn | Numerical Data'!$1:$1048576,_xlfn.XMATCH($A470,'Talnagögn | Numerical Data'!$C:$C),_xlfn.XMATCH($A$1,'Talnagögn | Numerical Data'!$1:$1))-INDEX('Talnagögn | Numerical Data'!$1:$1048576,_xlfn.XMATCH($A470,'Talnagögn | Numerical Data'!$C:$C),_xlfn.XMATCH($B$2,'Talnagögn | Numerical Data'!$1:$1))</f>
        <v>-0.16356126063479337</v>
      </c>
      <c r="AE470" s="915" cm="1">
        <f t="array" ref="AE470">INDEX('Talnagögn | Numerical Data'!$1:$1048576,_xlfn.XMATCH($A470,'Talnagögn | Numerical Data'!$C:$C),_xlfn.XMATCH($A$1,'Talnagögn | Numerical Data'!$1:$1))/INDEX('Talnagögn | Numerical Data'!$1:$1048576,_xlfn.XMATCH($A470,'Talnagögn | Numerical Data'!$C:$C),_xlfn.XMATCH($B$2,'Talnagögn | Numerical Data'!$1:$1))-1</f>
        <v>-5.0234637508874691E-3</v>
      </c>
      <c r="AF470" s="487" cm="1">
        <f t="array" ref="AF470">INDEX('Talnagögn | Numerical Data'!$1:$1048576,_xlfn.XMATCH($A470,'Talnagögn | Numerical Data'!$C:$C),_xlfn.XMATCH($A$1,'Talnagögn | Numerical Data'!$1:$1))-INDEX('Talnagögn | Numerical Data'!$1:$1048576,_xlfn.XMATCH($A470,'Talnagögn | Numerical Data'!$C:$C),_xlfn.XMATCH($B$1,'Talnagögn | Numerical Data'!$1:$1))</f>
        <v>-2.7650998382352654</v>
      </c>
      <c r="AG470" s="481" cm="1">
        <f t="array" ref="AG470">INDEX('Talnagögn | Numerical Data'!$1:$1048576,_xlfn.XMATCH($A470,'Talnagögn | Numerical Data'!$C:$C),_xlfn.XMATCH($A$1,'Talnagögn | Numerical Data'!$1:$1))/INDEX('Talnagögn | Numerical Data'!$1:$1048576,_xlfn.XMATCH($A470,'Talnagögn | Numerical Data'!$C:$C),_xlfn.XMATCH($B$1,'Talnagögn | Numerical Data'!$1:$1))-1</f>
        <v>-7.8641109486517702E-2</v>
      </c>
      <c r="AI470" s="513" t="str">
        <f>'Talnagögn | Numerical Data'!$G$128</f>
        <v>Organic Fertilizer Use</v>
      </c>
      <c r="AJ470" s="512" cm="1">
        <f t="array" ref="AJ470">INDEX('Talnagögn | Numerical Data'!$1:$1048576,_xlfn.XMATCH($B470,'Talnagögn | Numerical Data'!$C:$C),_xlfn.XMATCH($B$4,'Talnagögn | Numerical Data'!$1:$1))-INDEX('Talnagögn | Numerical Data'!$1:$1048576,_xlfn.XMATCH($A470,'Talnagögn | Numerical Data'!$C:$C),_xlfn.XMATCH($B$2,'Talnagögn | Numerical Data'!$1:$1))</f>
        <v>0.38172915942637076</v>
      </c>
      <c r="AK470" s="915" cm="1">
        <f t="array" ref="AK470">INDEX('Talnagögn | Numerical Data'!$1:$1048576,_xlfn.XMATCH($B470,'Talnagögn | Numerical Data'!$C:$C),_xlfn.XMATCH($B$4,'Talnagögn | Numerical Data'!$1:$1))/INDEX('Talnagögn | Numerical Data'!$1:$1048576,_xlfn.XMATCH($A470,'Talnagögn | Numerical Data'!$C:$C),_xlfn.XMATCH($B$2,'Talnagögn | Numerical Data'!$1:$1))-1</f>
        <v>1.1724063434047638E-2</v>
      </c>
      <c r="AL470" s="487" cm="1">
        <f t="array" ref="AL470">INDEX('Talnagögn | Numerical Data'!$1:$1048576,_xlfn.XMATCH($B470,'Talnagögn | Numerical Data'!$C:$C),_xlfn.XMATCH($B$5,'Talnagögn | Numerical Data'!$1:$1))-INDEX('Talnagögn | Numerical Data'!$1:$1048576,_xlfn.XMATCH($A470,'Talnagögn | Numerical Data'!$C:$C),_xlfn.XMATCH($B$1,'Talnagögn | Numerical Data'!$1:$1))</f>
        <v>-3.0465903356102046</v>
      </c>
      <c r="AM470" s="917" cm="1">
        <f t="array" ref="AM470">INDEX('Talnagögn | Numerical Data'!$1:$1048576,_xlfn.XMATCH($B470,'Talnagögn | Numerical Data'!$C:$C),_xlfn.XMATCH($B$5,'Talnagögn | Numerical Data'!$1:$1))/INDEX('Talnagögn | Numerical Data'!$1:$1048576,_xlfn.XMATCH($A470,'Talnagögn | Numerical Data'!$C:$C),_xlfn.XMATCH($B$1,'Talnagögn | Numerical Data'!$1:$1))-1</f>
        <v>-8.6646869248741987E-2</v>
      </c>
    </row>
    <row r="471" spans="1:45" s="21" customFormat="1" ht="21" customHeight="1" x14ac:dyDescent="0.4">
      <c r="A471" s="27" t="s">
        <v>93</v>
      </c>
      <c r="B471" s="27" t="s">
        <v>271</v>
      </c>
      <c r="C471" s="27" t="s">
        <v>275</v>
      </c>
      <c r="D471" s="131" t="s">
        <v>44</v>
      </c>
      <c r="E471" s="514" t="str">
        <f>'Talnagögn | Numerical Data'!$E$143&amp;" ⁵"</f>
        <v>Hestar ⁵</v>
      </c>
      <c r="F471" s="485" cm="1">
        <f t="array" ref="F471">INDEX('Talnagögn | Numerical Data'!$1:$1048576,_xlfn.XMATCH($A471,'Talnagögn | Numerical Data'!$C:$C),_xlfn.XMATCH($A$1,'Talnagögn | Numerical Data'!$1:$1))</f>
        <v>22.773212088953969</v>
      </c>
      <c r="G471" s="495">
        <f>$F$471/$F$473</f>
        <v>3.407426987893164E-2</v>
      </c>
      <c r="H471" s="487" cm="1">
        <f t="array" ref="H471">INDEX('Talnagögn | Numerical Data'!$1:$1048576,_xlfn.XMATCH($A471,'Talnagögn | Numerical Data'!$C:$C),_xlfn.XMATCH($A$1,'Talnagögn | Numerical Data'!$1:$1))-INDEX('Talnagögn | Numerical Data'!$1:$1048576,_xlfn.XMATCH($A471,'Talnagögn | Numerical Data'!$C:$C),_xlfn.XMATCH($B$3,'Talnagögn | Numerical Data'!$1:$1))</f>
        <v>-2.4218959225221575</v>
      </c>
      <c r="I471" s="493" cm="1">
        <f t="array" ref="I471">INDEX('Talnagögn | Numerical Data'!$1:$1048576, _xlfn.XMATCH($A471,'Talnagögn | Numerical Data'!$C:$C), _xlfn.XMATCH($A$1,'Talnagögn | Numerical Data'!$1:$1))/INDEX('Talnagögn | Numerical Data'!$1:$1048576, _xlfn.XMATCH($A471,'Talnagögn | Numerical Data'!$C:$C), _xlfn.XMATCH($B$3,'Talnagögn | Numerical Data'!$1:$1))-1</f>
        <v>-9.6125641589589805E-2</v>
      </c>
      <c r="J471" s="487" cm="1">
        <f t="array" ref="J471">INDEX('Talnagögn | Numerical Data'!$1:$1048576,_xlfn.XMATCH($A471,'Talnagögn | Numerical Data'!$C:$C),_xlfn.XMATCH($A$1,'Talnagögn | Numerical Data'!$1:$1))-INDEX('Talnagögn | Numerical Data'!$1:$1048576,_xlfn.XMATCH($A471,'Talnagögn | Numerical Data'!$C:$C),_xlfn.XMATCH($B$2,'Talnagögn | Numerical Data'!$1:$1))</f>
        <v>-6.6104135168697873</v>
      </c>
      <c r="K471" s="493" cm="1">
        <f t="array" ref="K471">INDEX('Talnagögn | Numerical Data'!$1:$1048576,_xlfn.XMATCH($A471,'Talnagögn | Numerical Data'!$C:$C),_xlfn.XMATCH($A$1,'Talnagögn | Numerical Data'!$1:$1))/INDEX('Talnagögn | Numerical Data'!$1:$1048576,_xlfn.XMATCH($A471,'Talnagögn | Numerical Data'!$C:$C),_xlfn.XMATCH($B$2,'Talnagögn | Numerical Data'!$1:$1))-1</f>
        <v>-0.22496929431198653</v>
      </c>
      <c r="L471" s="487" cm="1">
        <f t="array" ref="L471">INDEX('Talnagögn | Numerical Data'!$1:$1048576,_xlfn.XMATCH($A471,'Talnagögn | Numerical Data'!$C:$C),_xlfn.XMATCH($A$1,'Talnagögn | Numerical Data'!$1:$1))-INDEX('Talnagögn | Numerical Data'!$1:$1048576,_xlfn.XMATCH($A471,'Talnagögn | Numerical Data'!$C:$C),_xlfn.XMATCH($B$1,'Talnagögn | Numerical Data'!$1:$1))</f>
        <v>-5.1516729005971698</v>
      </c>
      <c r="M471" s="480" cm="1">
        <f t="array" ref="M471">INDEX('Talnagögn | Numerical Data'!$1:$1048576,_xlfn.XMATCH($A471,'Talnagögn | Numerical Data'!$C:$C),_xlfn.XMATCH($A$1,'Talnagögn | Numerical Data'!$1:$1))/INDEX('Talnagögn | Numerical Data'!$1:$1048576,_xlfn.XMATCH($A471,'Talnagögn | Numerical Data'!$C:$C),_xlfn.XMATCH($B$1,'Talnagögn | Numerical Data'!$1:$1))-1</f>
        <v>-0.18448322714757137</v>
      </c>
      <c r="O471" s="514" t="str">
        <f>'Talnagögn | Numerical Data'!$E$143</f>
        <v>Hestar</v>
      </c>
      <c r="P471" s="487" cm="1">
        <f t="array" ref="P471">INDEX('Talnagögn | Numerical Data'!$1:$1048576,_xlfn.XMATCH($B471,'Talnagögn | Numerical Data'!$C:$C),_xlfn.XMATCH($B$4,'Talnagögn | Numerical Data'!$1:$1))-INDEX('Talnagögn | Numerical Data'!$1:$1048576,_xlfn.XMATCH($A471,'Talnagögn | Numerical Data'!$C:$C),_xlfn.XMATCH($B$2,'Talnagögn | Numerical Data'!$1:$1))</f>
        <v>-7.1030827968392956</v>
      </c>
      <c r="Q471" s="493" cm="1">
        <f t="array" ref="Q471">INDEX('Talnagögn | Numerical Data'!$1:$1048576,_xlfn.XMATCH($B471,'Talnagögn | Numerical Data'!$C:$C),_xlfn.XMATCH($B$4,'Talnagögn | Numerical Data'!$1:$1))/INDEX('Talnagögn | Numerical Data'!$1:$1048576,_xlfn.XMATCH($A471,'Talnagögn | Numerical Data'!$C:$C),_xlfn.XMATCH($B$2,'Talnagögn | Numerical Data'!$1:$1))-1</f>
        <v>-0.24173609111843175</v>
      </c>
      <c r="R471" s="519" cm="1">
        <f t="array" ref="R471">INDEX('Talnagögn | Numerical Data'!$1:$1048576,_xlfn.XMATCH($B471,'Talnagögn | Numerical Data'!$C:$C),_xlfn.XMATCH($B$5,'Talnagögn | Numerical Data'!$1:$1))-INDEX('Talnagögn | Numerical Data'!$1:$1048576,_xlfn.XMATCH($A471,'Talnagögn | Numerical Data'!$C:$C),_xlfn.XMATCH($B$1,'Talnagögn | Numerical Data'!$1:$1))</f>
        <v>-8.1159745668377283</v>
      </c>
      <c r="S471" s="480" cm="1">
        <f t="array" ref="S471">INDEX('Talnagögn | Numerical Data'!$1:$1048576,_xlfn.XMATCH($B471,'Talnagögn | Numerical Data'!$C:$C),_xlfn.XMATCH($B$5,'Talnagögn | Numerical Data'!$1:$1))/INDEX('Talnagögn | Numerical Data'!$1:$1048576,_xlfn.XMATCH($A471,'Talnagögn | Numerical Data'!$C:$C),_xlfn.XMATCH($B$1,'Talnagögn | Numerical Data'!$1:$1))-1</f>
        <v>-0.29063591738603556</v>
      </c>
      <c r="V471" s="408"/>
      <c r="Y471" s="514" t="str">
        <f>'Talnagögn | Numerical Data'!$G$143&amp;" ⁵"</f>
        <v>Horses ⁵</v>
      </c>
      <c r="Z471" s="485" cm="1">
        <f t="array" ref="Z471">INDEX('Talnagögn | Numerical Data'!$1:$1048576,_xlfn.XMATCH($A471,'Talnagögn | Numerical Data'!$C:$C),_xlfn.XMATCH($A$1,'Talnagögn | Numerical Data'!$1:$1))</f>
        <v>22.773212088953969</v>
      </c>
      <c r="AA471" s="495">
        <f>$F$471/$F$473</f>
        <v>3.407426987893164E-2</v>
      </c>
      <c r="AB471" s="487" cm="1">
        <f t="array" ref="AB471">INDEX('Talnagögn | Numerical Data'!$1:$1048576,_xlfn.XMATCH($A471,'Talnagögn | Numerical Data'!$C:$C),_xlfn.XMATCH($A$1,'Talnagögn | Numerical Data'!$1:$1))-INDEX('Talnagögn | Numerical Data'!$1:$1048576,_xlfn.XMATCH($A471,'Talnagögn | Numerical Data'!$C:$C),_xlfn.XMATCH($B$3,'Talnagögn | Numerical Data'!$1:$1))</f>
        <v>-2.4218959225221575</v>
      </c>
      <c r="AC471" s="493" cm="1">
        <f t="array" ref="AC471">INDEX('Talnagögn | Numerical Data'!$1:$1048576, _xlfn.XMATCH($A471,'Talnagögn | Numerical Data'!$C:$C), _xlfn.XMATCH($A$1,'Talnagögn | Numerical Data'!$1:$1))/INDEX('Talnagögn | Numerical Data'!$1:$1048576, _xlfn.XMATCH($A471,'Talnagögn | Numerical Data'!$C:$C), _xlfn.XMATCH($B$3,'Talnagögn | Numerical Data'!$1:$1))-1</f>
        <v>-9.6125641589589805E-2</v>
      </c>
      <c r="AD471" s="487" cm="1">
        <f t="array" ref="AD471">INDEX('Talnagögn | Numerical Data'!$1:$1048576,_xlfn.XMATCH($A471,'Talnagögn | Numerical Data'!$C:$C),_xlfn.XMATCH($A$1,'Talnagögn | Numerical Data'!$1:$1))-INDEX('Talnagögn | Numerical Data'!$1:$1048576,_xlfn.XMATCH($A471,'Talnagögn | Numerical Data'!$C:$C),_xlfn.XMATCH($B$2,'Talnagögn | Numerical Data'!$1:$1))</f>
        <v>-6.6104135168697873</v>
      </c>
      <c r="AE471" s="493" cm="1">
        <f t="array" ref="AE471">INDEX('Talnagögn | Numerical Data'!$1:$1048576,_xlfn.XMATCH($A471,'Talnagögn | Numerical Data'!$C:$C),_xlfn.XMATCH($A$1,'Talnagögn | Numerical Data'!$1:$1))/INDEX('Talnagögn | Numerical Data'!$1:$1048576,_xlfn.XMATCH($A471,'Talnagögn | Numerical Data'!$C:$C),_xlfn.XMATCH($B$2,'Talnagögn | Numerical Data'!$1:$1))-1</f>
        <v>-0.22496929431198653</v>
      </c>
      <c r="AF471" s="487" cm="1">
        <f t="array" ref="AF471">INDEX('Talnagögn | Numerical Data'!$1:$1048576,_xlfn.XMATCH($A471,'Talnagögn | Numerical Data'!$C:$C),_xlfn.XMATCH($A$1,'Talnagögn | Numerical Data'!$1:$1))-INDEX('Talnagögn | Numerical Data'!$1:$1048576,_xlfn.XMATCH($A471,'Talnagögn | Numerical Data'!$C:$C),_xlfn.XMATCH($B$1,'Talnagögn | Numerical Data'!$1:$1))</f>
        <v>-5.1516729005971698</v>
      </c>
      <c r="AG471" s="481" cm="1">
        <f t="array" ref="AG471">INDEX('Talnagögn | Numerical Data'!$1:$1048576,_xlfn.XMATCH($A471,'Talnagögn | Numerical Data'!$C:$C),_xlfn.XMATCH($A$1,'Talnagögn | Numerical Data'!$1:$1))/INDEX('Talnagögn | Numerical Data'!$1:$1048576,_xlfn.XMATCH($A471,'Talnagögn | Numerical Data'!$C:$C),_xlfn.XMATCH($B$1,'Talnagögn | Numerical Data'!$1:$1))-1</f>
        <v>-0.18448322714757137</v>
      </c>
      <c r="AI471" s="514" t="str">
        <f>'Talnagögn | Numerical Data'!$G$143</f>
        <v>Horses</v>
      </c>
      <c r="AJ471" s="487" cm="1">
        <f t="array" ref="AJ471">INDEX('Talnagögn | Numerical Data'!$1:$1048576,_xlfn.XMATCH($B471,'Talnagögn | Numerical Data'!$C:$C),_xlfn.XMATCH($B$4,'Talnagögn | Numerical Data'!$1:$1))-INDEX('Talnagögn | Numerical Data'!$1:$1048576,_xlfn.XMATCH($A471,'Talnagögn | Numerical Data'!$C:$C),_xlfn.XMATCH($B$2,'Talnagögn | Numerical Data'!$1:$1))</f>
        <v>-7.1030827968392956</v>
      </c>
      <c r="AK471" s="493" cm="1">
        <f t="array" ref="AK471">INDEX('Talnagögn | Numerical Data'!$1:$1048576,_xlfn.XMATCH($B471,'Talnagögn | Numerical Data'!$C:$C),_xlfn.XMATCH($B$4,'Talnagögn | Numerical Data'!$1:$1))/INDEX('Talnagögn | Numerical Data'!$1:$1048576,_xlfn.XMATCH($A471,'Talnagögn | Numerical Data'!$C:$C),_xlfn.XMATCH($B$2,'Talnagögn | Numerical Data'!$1:$1))-1</f>
        <v>-0.24173609111843175</v>
      </c>
      <c r="AL471" s="519" cm="1">
        <f t="array" ref="AL471">INDEX('Talnagögn | Numerical Data'!$1:$1048576,_xlfn.XMATCH($B471,'Talnagögn | Numerical Data'!$C:$C),_xlfn.XMATCH($B$5,'Talnagögn | Numerical Data'!$1:$1))-INDEX('Talnagögn | Numerical Data'!$1:$1048576,_xlfn.XMATCH($A471,'Talnagögn | Numerical Data'!$C:$C),_xlfn.XMATCH($B$1,'Talnagögn | Numerical Data'!$1:$1))</f>
        <v>-8.1159745668377283</v>
      </c>
      <c r="AM471" s="480" cm="1">
        <f t="array" ref="AM471">INDEX('Talnagögn | Numerical Data'!$1:$1048576,_xlfn.XMATCH($B471,'Talnagögn | Numerical Data'!$C:$C),_xlfn.XMATCH($B$5,'Talnagögn | Numerical Data'!$1:$1))/INDEX('Talnagögn | Numerical Data'!$1:$1048576,_xlfn.XMATCH($A471,'Talnagögn | Numerical Data'!$C:$C),_xlfn.XMATCH($B$1,'Talnagögn | Numerical Data'!$1:$1))-1</f>
        <v>-0.29063591738603556</v>
      </c>
    </row>
    <row r="472" spans="1:45" s="21" customFormat="1" ht="21" customHeight="1" x14ac:dyDescent="0.4">
      <c r="A472" s="27" t="s">
        <v>94</v>
      </c>
      <c r="B472" s="27" t="s">
        <v>272</v>
      </c>
      <c r="C472" s="27" t="s">
        <v>276</v>
      </c>
      <c r="D472" s="131" t="s">
        <v>44</v>
      </c>
      <c r="E472" s="516" t="str">
        <f>'Talnagögn | Numerical Data'!$E$148</f>
        <v>Önnur losun</v>
      </c>
      <c r="F472" s="517" cm="1">
        <f t="array" ref="F472">INDEX('Talnagögn | Numerical Data'!$1:$1048576,_xlfn.XMATCH($A472,'Talnagögn | Numerical Data'!$C:$C),_xlfn.XMATCH($A$1,'Talnagögn | Numerical Data'!$1:$1))</f>
        <v>38.304253225316643</v>
      </c>
      <c r="G472" s="508">
        <f>$F$472/$F$473</f>
        <v>5.7312488761453756E-2</v>
      </c>
      <c r="H472" s="507" cm="1">
        <f t="array" ref="H472">INDEX('Talnagögn | Numerical Data'!$1:$1048576,_xlfn.XMATCH($A472,'Talnagögn | Numerical Data'!$C:$C),_xlfn.XMATCH($A$1,'Talnagögn | Numerical Data'!$1:$1))-INDEX('Talnagögn | Numerical Data'!$1:$1048576,_xlfn.XMATCH($A472,'Talnagögn | Numerical Data'!$C:$C),_xlfn.XMATCH($B$3,'Talnagögn | Numerical Data'!$1:$1))</f>
        <v>0.6512363335897362</v>
      </c>
      <c r="I472" s="509" cm="1">
        <f t="array" ref="I472">INDEX('Talnagögn | Numerical Data'!$1:$1048576, _xlfn.XMATCH($A472,'Talnagögn | Numerical Data'!$C:$C), _xlfn.XMATCH($A$1,'Talnagögn | Numerical Data'!$1:$1))/INDEX('Talnagögn | Numerical Data'!$1:$1048576, _xlfn.XMATCH($A472,'Talnagögn | Numerical Data'!$C:$C), _xlfn.XMATCH($B$3,'Talnagögn | Numerical Data'!$1:$1))-1</f>
        <v>1.7295727868563482E-2</v>
      </c>
      <c r="J472" s="507" cm="1">
        <f t="array" ref="J472">INDEX('Talnagögn | Numerical Data'!$1:$1048576,_xlfn.XMATCH($A472,'Talnagögn | Numerical Data'!$C:$C),_xlfn.XMATCH($A$1,'Talnagögn | Numerical Data'!$1:$1))-INDEX('Talnagögn | Numerical Data'!$1:$1048576,_xlfn.XMATCH($A472,'Talnagögn | Numerical Data'!$C:$C),_xlfn.XMATCH($B$2,'Talnagögn | Numerical Data'!$1:$1))</f>
        <v>-8.4248063716694332</v>
      </c>
      <c r="K472" s="508" cm="1">
        <f t="array" ref="K472">INDEX('Talnagögn | Numerical Data'!$1:$1048576,_xlfn.XMATCH($A472,'Talnagögn | Numerical Data'!$C:$C),_xlfn.XMATCH($A$1,'Talnagögn | Numerical Data'!$1:$1))/INDEX('Talnagögn | Numerical Data'!$1:$1048576,_xlfn.XMATCH($A472,'Talnagögn | Numerical Data'!$C:$C),_xlfn.XMATCH($B$2,'Talnagögn | Numerical Data'!$1:$1))-1</f>
        <v>-0.18029051824130471</v>
      </c>
      <c r="L472" s="507" cm="1">
        <f t="array" ref="L472">INDEX('Talnagögn | Numerical Data'!$1:$1048576,_xlfn.XMATCH($A472,'Talnagögn | Numerical Data'!$C:$C),_xlfn.XMATCH($A$1,'Talnagögn | Numerical Data'!$1:$1))-INDEX('Talnagögn | Numerical Data'!$1:$1048576,_xlfn.XMATCH($A472,'Talnagögn | Numerical Data'!$C:$C),_xlfn.XMATCH($B$1,'Talnagögn | Numerical Data'!$1:$1))</f>
        <v>-11.427195917759946</v>
      </c>
      <c r="M472" s="510" cm="1">
        <f t="array" ref="M472">INDEX('Talnagögn | Numerical Data'!$1:$1048576,_xlfn.XMATCH($A472,'Talnagögn | Numerical Data'!$C:$C),_xlfn.XMATCH($A$1,'Talnagögn | Numerical Data'!$1:$1))/INDEX('Talnagögn | Numerical Data'!$1:$1048576,_xlfn.XMATCH($A472,'Talnagögn | Numerical Data'!$C:$C),_xlfn.XMATCH($B$1,'Talnagögn | Numerical Data'!$1:$1))-1</f>
        <v>-0.2297780602548718</v>
      </c>
      <c r="O472" s="516" t="str">
        <f>'Talnagögn | Numerical Data'!$E$148</f>
        <v>Önnur losun</v>
      </c>
      <c r="P472" s="916" cm="1">
        <f t="array" ref="P472">INDEX('Talnagögn | Numerical Data'!$1:$1048576,_xlfn.XMATCH($B472,'Talnagögn | Numerical Data'!$C:$C),_xlfn.XMATCH($B$4,'Talnagögn | Numerical Data'!$1:$1))-INDEX('Talnagögn | Numerical Data'!$1:$1048576,_xlfn.XMATCH($A472,'Talnagögn | Numerical Data'!$C:$C),_xlfn.XMATCH($B$2,'Talnagögn | Numerical Data'!$1:$1))</f>
        <v>-10.795057390142347</v>
      </c>
      <c r="Q472" s="509" cm="1">
        <f t="array" ref="Q472">INDEX('Talnagögn | Numerical Data'!$1:$1048576,_xlfn.XMATCH($B472,'Talnagögn | Numerical Data'!$C:$C),_xlfn.XMATCH($B$4,'Talnagögn | Numerical Data'!$1:$1))/INDEX('Talnagögn | Numerical Data'!$1:$1048576,_xlfn.XMATCH($A472,'Talnagögn | Numerical Data'!$C:$C),_xlfn.XMATCH($B$2,'Talnagögn | Numerical Data'!$1:$1))-1</f>
        <v>-0.23101379491143459</v>
      </c>
      <c r="R472" s="517" cm="1">
        <f t="array" ref="R472">INDEX('Talnagögn | Numerical Data'!$1:$1048576,_xlfn.XMATCH($B472,'Talnagögn | Numerical Data'!$C:$C),_xlfn.XMATCH($B$5,'Talnagögn | Numerical Data'!$1:$1))-INDEX('Talnagögn | Numerical Data'!$1:$1048576,_xlfn.XMATCH($A472,'Talnagögn | Numerical Data'!$C:$C),_xlfn.XMATCH($B$1,'Talnagögn | Numerical Data'!$1:$1))</f>
        <v>-17.237528298744451</v>
      </c>
      <c r="S472" s="510" cm="1">
        <f t="array" ref="S472">INDEX('Talnagögn | Numerical Data'!$1:$1048576,_xlfn.XMATCH($B472,'Talnagögn | Numerical Data'!$C:$C),_xlfn.XMATCH($B$5,'Talnagögn | Numerical Data'!$1:$1))/INDEX('Talnagögn | Numerical Data'!$1:$1048576,_xlfn.XMATCH($A472,'Talnagögn | Numerical Data'!$C:$C),_xlfn.XMATCH($B$1,'Talnagögn | Numerical Data'!$1:$1))-1</f>
        <v>-0.34661222618211573</v>
      </c>
      <c r="V472" s="408"/>
      <c r="Y472" s="516" t="str">
        <f>'Talnagögn | Numerical Data'!$G$148</f>
        <v>Other Emissions</v>
      </c>
      <c r="Z472" s="517" cm="1">
        <f t="array" ref="Z472">INDEX('Talnagögn | Numerical Data'!$1:$1048576,_xlfn.XMATCH($A472,'Talnagögn | Numerical Data'!$C:$C),_xlfn.XMATCH($A$1,'Talnagögn | Numerical Data'!$1:$1))</f>
        <v>38.304253225316643</v>
      </c>
      <c r="AA472" s="508">
        <f>$F$472/$F$473</f>
        <v>5.7312488761453756E-2</v>
      </c>
      <c r="AB472" s="507" cm="1">
        <f t="array" ref="AB472">INDEX('Talnagögn | Numerical Data'!$1:$1048576,_xlfn.XMATCH($A472,'Talnagögn | Numerical Data'!$C:$C),_xlfn.XMATCH($A$1,'Talnagögn | Numerical Data'!$1:$1))-INDEX('Talnagögn | Numerical Data'!$1:$1048576,_xlfn.XMATCH($A472,'Talnagögn | Numerical Data'!$C:$C),_xlfn.XMATCH($B$3,'Talnagögn | Numerical Data'!$1:$1))</f>
        <v>0.6512363335897362</v>
      </c>
      <c r="AC472" s="509" cm="1">
        <f t="array" ref="AC472">INDEX('Talnagögn | Numerical Data'!$1:$1048576, _xlfn.XMATCH($A472,'Talnagögn | Numerical Data'!$C:$C), _xlfn.XMATCH($A$1,'Talnagögn | Numerical Data'!$1:$1))/INDEX('Talnagögn | Numerical Data'!$1:$1048576, _xlfn.XMATCH($A472,'Talnagögn | Numerical Data'!$C:$C), _xlfn.XMATCH($B$3,'Talnagögn | Numerical Data'!$1:$1))-1</f>
        <v>1.7295727868563482E-2</v>
      </c>
      <c r="AD472" s="507" cm="1">
        <f t="array" ref="AD472">INDEX('Talnagögn | Numerical Data'!$1:$1048576,_xlfn.XMATCH($A472,'Talnagögn | Numerical Data'!$C:$C),_xlfn.XMATCH($A$1,'Talnagögn | Numerical Data'!$1:$1))-INDEX('Talnagögn | Numerical Data'!$1:$1048576,_xlfn.XMATCH($A472,'Talnagögn | Numerical Data'!$C:$C),_xlfn.XMATCH($B$2,'Talnagögn | Numerical Data'!$1:$1))</f>
        <v>-8.4248063716694332</v>
      </c>
      <c r="AE472" s="508" cm="1">
        <f t="array" ref="AE472">INDEX('Talnagögn | Numerical Data'!$1:$1048576,_xlfn.XMATCH($A472,'Talnagögn | Numerical Data'!$C:$C),_xlfn.XMATCH($A$1,'Talnagögn | Numerical Data'!$1:$1))/INDEX('Talnagögn | Numerical Data'!$1:$1048576,_xlfn.XMATCH($A472,'Talnagögn | Numerical Data'!$C:$C),_xlfn.XMATCH($B$2,'Talnagögn | Numerical Data'!$1:$1))-1</f>
        <v>-0.18029051824130471</v>
      </c>
      <c r="AF472" s="507" cm="1">
        <f t="array" ref="AF472">INDEX('Talnagögn | Numerical Data'!$1:$1048576,_xlfn.XMATCH($A472,'Talnagögn | Numerical Data'!$C:$C),_xlfn.XMATCH($A$1,'Talnagögn | Numerical Data'!$1:$1))-INDEX('Talnagögn | Numerical Data'!$1:$1048576,_xlfn.XMATCH($A472,'Talnagögn | Numerical Data'!$C:$C),_xlfn.XMATCH($B$1,'Talnagögn | Numerical Data'!$1:$1))</f>
        <v>-11.427195917759946</v>
      </c>
      <c r="AG472" s="510" cm="1">
        <f t="array" ref="AG472">INDEX('Talnagögn | Numerical Data'!$1:$1048576,_xlfn.XMATCH($A472,'Talnagögn | Numerical Data'!$C:$C),_xlfn.XMATCH($A$1,'Talnagögn | Numerical Data'!$1:$1))/INDEX('Talnagögn | Numerical Data'!$1:$1048576,_xlfn.XMATCH($A472,'Talnagögn | Numerical Data'!$C:$C),_xlfn.XMATCH($B$1,'Talnagögn | Numerical Data'!$1:$1))-1</f>
        <v>-0.2297780602548718</v>
      </c>
      <c r="AI472" s="516" t="str">
        <f>'Talnagögn | Numerical Data'!$G$148</f>
        <v>Other Emissions</v>
      </c>
      <c r="AJ472" s="916" cm="1">
        <f t="array" ref="AJ472">INDEX('Talnagögn | Numerical Data'!$1:$1048576,_xlfn.XMATCH($B472,'Talnagögn | Numerical Data'!$C:$C),_xlfn.XMATCH($B$4,'Talnagögn | Numerical Data'!$1:$1))-INDEX('Talnagögn | Numerical Data'!$1:$1048576,_xlfn.XMATCH($A472,'Talnagögn | Numerical Data'!$C:$C),_xlfn.XMATCH($B$2,'Talnagögn | Numerical Data'!$1:$1))</f>
        <v>-10.795057390142347</v>
      </c>
      <c r="AK472" s="509" cm="1">
        <f t="array" ref="AK472">INDEX('Talnagögn | Numerical Data'!$1:$1048576,_xlfn.XMATCH($B472,'Talnagögn | Numerical Data'!$C:$C),_xlfn.XMATCH($B$4,'Talnagögn | Numerical Data'!$1:$1))/INDEX('Talnagögn | Numerical Data'!$1:$1048576,_xlfn.XMATCH($A472,'Talnagögn | Numerical Data'!$C:$C),_xlfn.XMATCH($B$2,'Talnagögn | Numerical Data'!$1:$1))-1</f>
        <v>-0.23101379491143459</v>
      </c>
      <c r="AL472" s="517" cm="1">
        <f t="array" ref="AL472">INDEX('Talnagögn | Numerical Data'!$1:$1048576,_xlfn.XMATCH($B472,'Talnagögn | Numerical Data'!$C:$C),_xlfn.XMATCH($B$5,'Talnagögn | Numerical Data'!$1:$1))-INDEX('Talnagögn | Numerical Data'!$1:$1048576,_xlfn.XMATCH($A472,'Talnagögn | Numerical Data'!$C:$C),_xlfn.XMATCH($B$1,'Talnagögn | Numerical Data'!$1:$1))</f>
        <v>-17.237528298744451</v>
      </c>
      <c r="AM472" s="510" cm="1">
        <f t="array" ref="AM472">INDEX('Talnagögn | Numerical Data'!$1:$1048576,_xlfn.XMATCH($B472,'Talnagögn | Numerical Data'!$C:$C),_xlfn.XMATCH($B$5,'Talnagögn | Numerical Data'!$1:$1))/INDEX('Talnagögn | Numerical Data'!$1:$1048576,_xlfn.XMATCH($A472,'Talnagögn | Numerical Data'!$C:$C),_xlfn.XMATCH($B$1,'Talnagögn | Numerical Data'!$1:$1))-1</f>
        <v>-0.34661222618211573</v>
      </c>
    </row>
    <row r="473" spans="1:45" ht="29.25" customHeight="1" x14ac:dyDescent="0.4">
      <c r="A473" s="27" t="s">
        <v>40</v>
      </c>
      <c r="B473" s="27" t="s">
        <v>223</v>
      </c>
      <c r="C473" s="27" t="s">
        <v>230</v>
      </c>
      <c r="D473" s="131" t="s">
        <v>44</v>
      </c>
      <c r="E473" s="505" t="s">
        <v>12</v>
      </c>
      <c r="F473" s="498" cm="1">
        <f t="array" ref="F473">INDEX('Talnagögn | Numerical Data'!$1:$1048576,_xlfn.XMATCH($A473,'Talnagögn | Numerical Data'!$C:$C),_xlfn.XMATCH($A$1,'Talnagögn | Numerical Data'!$1:$1))</f>
        <v>668.34042724521601</v>
      </c>
      <c r="G473" s="497">
        <f>SUM(G466:G472)</f>
        <v>1</v>
      </c>
      <c r="H473" s="913" cm="1">
        <f t="array" ref="H473">INDEX('Talnagögn | Numerical Data'!$1:$1048576,_xlfn.XMATCH($A473,'Talnagögn | Numerical Data'!$C:$C),_xlfn.XMATCH($A$1,'Talnagögn | Numerical Data'!$1:$1))-INDEX('Talnagögn | Numerical Data'!$1:$1048576,_xlfn.XMATCH($A473,'Talnagögn | Numerical Data'!$C:$C),_xlfn.XMATCH($B$3,'Talnagögn | Numerical Data'!$1:$1))</f>
        <v>-0.41798729362869835</v>
      </c>
      <c r="I473" s="914" cm="1">
        <f t="array" ref="I473">INDEX('Talnagögn | Numerical Data'!$1:$1048576, _xlfn.XMATCH($A473,'Talnagögn | Numerical Data'!$C:$C), _xlfn.XMATCH($A$1,'Talnagögn | Numerical Data'!$1:$1))/INDEX('Talnagögn | Numerical Data'!$1:$1048576, _xlfn.XMATCH($A473,'Talnagögn | Numerical Data'!$C:$C), _xlfn.XMATCH($B$3,'Talnagögn | Numerical Data'!$1:$1))-1</f>
        <v>-6.2501986448559865E-4</v>
      </c>
      <c r="J473" s="498" cm="1">
        <f t="array" ref="J473">INDEX('Talnagögn | Numerical Data'!$1:$1048576,_xlfn.XMATCH($A473,'Talnagögn | Numerical Data'!$C:$C),_xlfn.XMATCH($A$1,'Talnagögn | Numerical Data'!$1:$1))-INDEX('Talnagögn | Numerical Data'!$1:$1048576,_xlfn.XMATCH($A473,'Talnagögn | Numerical Data'!$C:$C),_xlfn.XMATCH($B$2,'Talnagögn | Numerical Data'!$1:$1))</f>
        <v>-17.944766173767107</v>
      </c>
      <c r="K473" s="499" cm="1">
        <f t="array" ref="K473">INDEX('Talnagögn | Numerical Data'!$1:$1048576,_xlfn.XMATCH($A473,'Talnagögn | Numerical Data'!$C:$C),_xlfn.XMATCH($A$1,'Talnagögn | Numerical Data'!$1:$1))/INDEX('Talnagögn | Numerical Data'!$1:$1048576,_xlfn.XMATCH($A473,'Talnagögn | Numerical Data'!$C:$C),_xlfn.XMATCH($B$2,'Talnagögn | Numerical Data'!$1:$1))-1</f>
        <v>-2.6147680797787065E-2</v>
      </c>
      <c r="L473" s="498" cm="1">
        <f t="array" ref="L473">INDEX('Talnagögn | Numerical Data'!$1:$1048576,_xlfn.XMATCH($A473,'Talnagögn | Numerical Data'!$C:$C),_xlfn.XMATCH($A$1,'Talnagögn | Numerical Data'!$1:$1))-INDEX('Talnagögn | Numerical Data'!$1:$1048576,_xlfn.XMATCH($A473,'Talnagögn | Numerical Data'!$C:$C),_xlfn.XMATCH($B$1,'Talnagögn | Numerical Data'!$1:$1))</f>
        <v>-53.430400731629675</v>
      </c>
      <c r="M473" s="518" cm="1">
        <f t="array" ref="M473">INDEX('Talnagögn | Numerical Data'!$1:$1048576,_xlfn.XMATCH($A473,'Talnagögn | Numerical Data'!$C:$C),_xlfn.XMATCH($A$1,'Talnagögn | Numerical Data'!$1:$1))/INDEX('Talnagögn | Numerical Data'!$1:$1048576,_xlfn.XMATCH($A473,'Talnagögn | Numerical Data'!$C:$C),_xlfn.XMATCH($B$1,'Talnagögn | Numerical Data'!$1:$1))-1</f>
        <v>-7.4026822172070017E-2</v>
      </c>
      <c r="N473" s="5"/>
      <c r="O473" s="505" t="s">
        <v>12</v>
      </c>
      <c r="P473" s="498" cm="1">
        <f t="array" ref="P473">INDEX('Talnagögn | Numerical Data'!$1:$1048576,_xlfn.XMATCH($B473,'Talnagögn | Numerical Data'!$C:$C),_xlfn.XMATCH($B$4,'Talnagögn | Numerical Data'!$1:$1))-INDEX('Talnagögn | Numerical Data'!$1:$1048576,_xlfn.XMATCH($A473,'Talnagögn | Numerical Data'!$C:$C),_xlfn.XMATCH($B$2,'Talnagögn | Numerical Data'!$1:$1))</f>
        <v>-35.971427832382574</v>
      </c>
      <c r="Q473" s="499" cm="1">
        <f t="array" ref="Q473">INDEX('Talnagögn | Numerical Data'!$1:$1048576,_xlfn.XMATCH($B473,'Talnagögn | Numerical Data'!$C:$C),_xlfn.XMATCH($B$4,'Talnagögn | Numerical Data'!$1:$1))/INDEX('Talnagögn | Numerical Data'!$1:$1048576,_xlfn.XMATCH($A473,'Talnagögn | Numerical Data'!$C:$C),_xlfn.XMATCH($B$2,'Talnagögn | Numerical Data'!$1:$1))-1</f>
        <v>-5.2414693158652659E-2</v>
      </c>
      <c r="R473" s="498" cm="1">
        <f t="array" ref="R473">INDEX('Talnagögn | Numerical Data'!$1:$1048576,_xlfn.XMATCH($B473,'Talnagögn | Numerical Data'!$C:$C),_xlfn.XMATCH($B$5,'Talnagögn | Numerical Data'!$1:$1))-INDEX('Talnagögn | Numerical Data'!$1:$1048576,_xlfn.XMATCH($A473,'Talnagögn | Numerical Data'!$C:$C),_xlfn.XMATCH($B$1,'Talnagögn | Numerical Data'!$1:$1))</f>
        <v>-133.90036890007912</v>
      </c>
      <c r="S473" s="511" cm="1">
        <f t="array" ref="S473">INDEX('Talnagögn | Numerical Data'!$1:$1048576,_xlfn.XMATCH($B473,'Talnagögn | Numerical Data'!$C:$C),_xlfn.XMATCH($B$5,'Talnagögn | Numerical Data'!$1:$1))/INDEX('Talnagögn | Numerical Data'!$1:$1048576,_xlfn.XMATCH($A473,'Talnagögn | Numerical Data'!$C:$C),_xlfn.XMATCH($B$1,'Talnagögn | Numerical Data'!$1:$1))-1</f>
        <v>-0.18551645994810784</v>
      </c>
      <c r="T473" s="5"/>
      <c r="U473" s="5"/>
      <c r="V473" s="162"/>
      <c r="Y473" s="505" t="s">
        <v>145</v>
      </c>
      <c r="Z473" s="498" cm="1">
        <f t="array" ref="Z473">INDEX('Talnagögn | Numerical Data'!$1:$1048576,_xlfn.XMATCH($A473,'Talnagögn | Numerical Data'!$C:$C),_xlfn.XMATCH($A$1,'Talnagögn | Numerical Data'!$1:$1))</f>
        <v>668.34042724521601</v>
      </c>
      <c r="AA473" s="497">
        <f>SUM(AA466:AA472)</f>
        <v>1</v>
      </c>
      <c r="AB473" s="913" cm="1">
        <f t="array" ref="AB473">INDEX('Talnagögn | Numerical Data'!$1:$1048576,_xlfn.XMATCH($A473,'Talnagögn | Numerical Data'!$C:$C),_xlfn.XMATCH($A$1,'Talnagögn | Numerical Data'!$1:$1))-INDEX('Talnagögn | Numerical Data'!$1:$1048576,_xlfn.XMATCH($A473,'Talnagögn | Numerical Data'!$C:$C),_xlfn.XMATCH($B$3,'Talnagögn | Numerical Data'!$1:$1))</f>
        <v>-0.41798729362869835</v>
      </c>
      <c r="AC473" s="914" cm="1">
        <f t="array" ref="AC473">INDEX('Talnagögn | Numerical Data'!$1:$1048576, _xlfn.XMATCH($A473,'Talnagögn | Numerical Data'!$C:$C), _xlfn.XMATCH($A$1,'Talnagögn | Numerical Data'!$1:$1))/INDEX('Talnagögn | Numerical Data'!$1:$1048576, _xlfn.XMATCH($A473,'Talnagögn | Numerical Data'!$C:$C), _xlfn.XMATCH($B$3,'Talnagögn | Numerical Data'!$1:$1))-1</f>
        <v>-6.2501986448559865E-4</v>
      </c>
      <c r="AD473" s="498" cm="1">
        <f t="array" ref="AD473">INDEX('Talnagögn | Numerical Data'!$1:$1048576,_xlfn.XMATCH($A473,'Talnagögn | Numerical Data'!$C:$C),_xlfn.XMATCH($A$1,'Talnagögn | Numerical Data'!$1:$1))-INDEX('Talnagögn | Numerical Data'!$1:$1048576,_xlfn.XMATCH($A473,'Talnagögn | Numerical Data'!$C:$C),_xlfn.XMATCH($B$2,'Talnagögn | Numerical Data'!$1:$1))</f>
        <v>-17.944766173767107</v>
      </c>
      <c r="AE473" s="499" cm="1">
        <f t="array" ref="AE473">INDEX('Talnagögn | Numerical Data'!$1:$1048576,_xlfn.XMATCH($A473,'Talnagögn | Numerical Data'!$C:$C),_xlfn.XMATCH($A$1,'Talnagögn | Numerical Data'!$1:$1))/INDEX('Talnagögn | Numerical Data'!$1:$1048576,_xlfn.XMATCH($A473,'Talnagögn | Numerical Data'!$C:$C),_xlfn.XMATCH($B$2,'Talnagögn | Numerical Data'!$1:$1))-1</f>
        <v>-2.6147680797787065E-2</v>
      </c>
      <c r="AF473" s="498" cm="1">
        <f t="array" ref="AF473">INDEX('Talnagögn | Numerical Data'!$1:$1048576,_xlfn.XMATCH($A473,'Talnagögn | Numerical Data'!$C:$C),_xlfn.XMATCH($A$1,'Talnagögn | Numerical Data'!$1:$1))-INDEX('Talnagögn | Numerical Data'!$1:$1048576,_xlfn.XMATCH($A473,'Talnagögn | Numerical Data'!$C:$C),_xlfn.XMATCH($B$1,'Talnagögn | Numerical Data'!$1:$1))</f>
        <v>-53.430400731629675</v>
      </c>
      <c r="AG473" s="518" cm="1">
        <f t="array" ref="AG473">INDEX('Talnagögn | Numerical Data'!$1:$1048576,_xlfn.XMATCH($A473,'Talnagögn | Numerical Data'!$C:$C),_xlfn.XMATCH($A$1,'Talnagögn | Numerical Data'!$1:$1))/INDEX('Talnagögn | Numerical Data'!$1:$1048576,_xlfn.XMATCH($A473,'Talnagögn | Numerical Data'!$C:$C),_xlfn.XMATCH($B$1,'Talnagögn | Numerical Data'!$1:$1))-1</f>
        <v>-7.4026822172070017E-2</v>
      </c>
      <c r="AH473" s="5"/>
      <c r="AI473" s="505" t="s">
        <v>12</v>
      </c>
      <c r="AJ473" s="498" cm="1">
        <f t="array" ref="AJ473">INDEX('Talnagögn | Numerical Data'!$1:$1048576,_xlfn.XMATCH($B473,'Talnagögn | Numerical Data'!$C:$C),_xlfn.XMATCH($B$4,'Talnagögn | Numerical Data'!$1:$1))-INDEX('Talnagögn | Numerical Data'!$1:$1048576,_xlfn.XMATCH($A473,'Talnagögn | Numerical Data'!$C:$C),_xlfn.XMATCH($B$2,'Talnagögn | Numerical Data'!$1:$1))</f>
        <v>-35.971427832382574</v>
      </c>
      <c r="AK473" s="499" cm="1">
        <f t="array" ref="AK473">INDEX('Talnagögn | Numerical Data'!$1:$1048576,_xlfn.XMATCH($B473,'Talnagögn | Numerical Data'!$C:$C),_xlfn.XMATCH($B$4,'Talnagögn | Numerical Data'!$1:$1))/INDEX('Talnagögn | Numerical Data'!$1:$1048576,_xlfn.XMATCH($A473,'Talnagögn | Numerical Data'!$C:$C),_xlfn.XMATCH($B$2,'Talnagögn | Numerical Data'!$1:$1))-1</f>
        <v>-5.2414693158652659E-2</v>
      </c>
      <c r="AL473" s="498" cm="1">
        <f t="array" ref="AL473">INDEX('Talnagögn | Numerical Data'!$1:$1048576,_xlfn.XMATCH($B473,'Talnagögn | Numerical Data'!$C:$C),_xlfn.XMATCH($B$5,'Talnagögn | Numerical Data'!$1:$1))-INDEX('Talnagögn | Numerical Data'!$1:$1048576,_xlfn.XMATCH($A473,'Talnagögn | Numerical Data'!$C:$C),_xlfn.XMATCH($B$1,'Talnagögn | Numerical Data'!$1:$1))</f>
        <v>-133.90036890007912</v>
      </c>
      <c r="AM473" s="511" cm="1">
        <f t="array" ref="AM473">INDEX('Talnagögn | Numerical Data'!$1:$1048576,_xlfn.XMATCH($B473,'Talnagögn | Numerical Data'!$C:$C),_xlfn.XMATCH($B$5,'Talnagögn | Numerical Data'!$1:$1))/INDEX('Talnagögn | Numerical Data'!$1:$1048576,_xlfn.XMATCH($A473,'Talnagögn | Numerical Data'!$C:$C),_xlfn.XMATCH($B$1,'Talnagögn | Numerical Data'!$1:$1))-1</f>
        <v>-0.18551645994810784</v>
      </c>
      <c r="AN473" s="5"/>
      <c r="AO473" s="5"/>
      <c r="AP473" s="5"/>
      <c r="AQ473" s="5"/>
      <c r="AR473" s="5"/>
      <c r="AS473" s="5"/>
    </row>
    <row r="474" spans="1:45" s="21" customFormat="1" x14ac:dyDescent="0.4">
      <c r="A474" s="27"/>
      <c r="B474" s="645"/>
      <c r="C474" s="645"/>
      <c r="D474" s="131" t="s">
        <v>44</v>
      </c>
      <c r="E474" s="906" t="str">
        <f>"¹ "&amp;'Talnagögn | Numerical Data'!$F$121</f>
        <v>¹ Hláturgaslosun (N₂O) frá framræstu mólendi og ræktuðu landi</v>
      </c>
      <c r="F474" s="178"/>
      <c r="G474" s="178"/>
      <c r="H474" s="127"/>
      <c r="I474" s="178"/>
      <c r="J474" s="178"/>
      <c r="K474" s="178"/>
      <c r="L474" s="178"/>
      <c r="M474" s="178"/>
      <c r="N474" s="178"/>
      <c r="O474" s="178"/>
      <c r="P474" s="178"/>
      <c r="Q474" s="178"/>
      <c r="R474" s="178"/>
      <c r="S474" s="178"/>
      <c r="T474" s="178"/>
      <c r="U474" s="178"/>
      <c r="V474" s="410"/>
      <c r="Y474" s="906" t="str">
        <f>"¹ "&amp;'Talnagögn | Numerical Data'!$H$121</f>
        <v>¹ N2O emissions from drained grassland and cropland</v>
      </c>
      <c r="Z474" s="178"/>
      <c r="AA474" s="178"/>
      <c r="AB474" s="178"/>
      <c r="AC474" s="178"/>
      <c r="AD474" s="178"/>
      <c r="AE474" s="178"/>
      <c r="AF474" s="178"/>
      <c r="AG474" s="178"/>
      <c r="AH474" s="178"/>
      <c r="AI474" s="178"/>
      <c r="AJ474" s="178"/>
      <c r="AK474" s="178"/>
      <c r="AL474" s="178"/>
      <c r="AM474" s="178"/>
      <c r="AN474" s="178"/>
      <c r="AO474" s="178"/>
      <c r="AP474" s="178"/>
      <c r="AQ474" s="178"/>
      <c r="AR474" s="178"/>
      <c r="AS474" s="178"/>
    </row>
    <row r="475" spans="1:45" s="21" customFormat="1" x14ac:dyDescent="0.4">
      <c r="A475" s="27"/>
      <c r="B475" s="645"/>
      <c r="C475" s="645"/>
      <c r="D475" s="131"/>
      <c r="E475" s="479" t="str">
        <f>"² "&amp;'Talnagögn | Numerical Data'!$F$133</f>
        <v>² Losun vegna iðragerjunar og meðhöndlunar húsdýraáburðar</v>
      </c>
      <c r="F475" s="178"/>
      <c r="G475" s="178"/>
      <c r="H475" s="127"/>
      <c r="I475" s="178"/>
      <c r="J475" s="178"/>
      <c r="K475" s="178"/>
      <c r="L475" s="178"/>
      <c r="M475" s="178"/>
      <c r="N475" s="178"/>
      <c r="O475" s="178"/>
      <c r="P475" s="178"/>
      <c r="Q475" s="178"/>
      <c r="R475" s="178"/>
      <c r="S475" s="178"/>
      <c r="T475" s="178"/>
      <c r="U475" s="178"/>
      <c r="V475" s="410"/>
      <c r="Y475" s="479" t="str">
        <f>"² "&amp;'Talnagögn | Numerical Data'!$H$133</f>
        <v>² Emissions from enteric fermentation and manure management</v>
      </c>
      <c r="Z475" s="178"/>
      <c r="AA475" s="178"/>
      <c r="AB475" s="178"/>
      <c r="AC475" s="178"/>
      <c r="AD475" s="178"/>
      <c r="AE475" s="178"/>
      <c r="AF475" s="178"/>
      <c r="AG475" s="178"/>
      <c r="AH475" s="178"/>
      <c r="AI475" s="178"/>
      <c r="AJ475" s="178"/>
      <c r="AK475" s="178"/>
      <c r="AL475" s="178"/>
      <c r="AM475" s="178"/>
      <c r="AN475" s="178"/>
      <c r="AO475" s="178"/>
      <c r="AP475" s="178"/>
      <c r="AQ475" s="178"/>
      <c r="AR475" s="178"/>
      <c r="AS475" s="178"/>
    </row>
    <row r="476" spans="1:45" s="21" customFormat="1" x14ac:dyDescent="0.4">
      <c r="A476" s="27"/>
      <c r="B476" s="645"/>
      <c r="C476" s="645"/>
      <c r="D476" s="131"/>
      <c r="E476" s="479" t="str">
        <f>"³ "&amp;'Talnagögn | Numerical Data'!$F$138</f>
        <v>³ Losun vegna iðragerjunar og meðhöndlunar húsdýraáburðar</v>
      </c>
      <c r="F476" s="178"/>
      <c r="G476" s="178"/>
      <c r="H476" s="127"/>
      <c r="I476" s="178"/>
      <c r="J476" s="178"/>
      <c r="K476" s="178"/>
      <c r="L476" s="178"/>
      <c r="M476" s="178"/>
      <c r="N476" s="178"/>
      <c r="O476" s="178"/>
      <c r="P476" s="178"/>
      <c r="Q476" s="178"/>
      <c r="R476" s="178"/>
      <c r="S476" s="178"/>
      <c r="T476" s="178"/>
      <c r="U476" s="178"/>
      <c r="V476" s="410"/>
      <c r="Y476" s="479" t="str">
        <f>"³ "&amp;'Talnagögn | Numerical Data'!$H$138</f>
        <v>³ Emissions from enteric fermentation and manure management</v>
      </c>
      <c r="Z476" s="178"/>
      <c r="AA476" s="178"/>
      <c r="AB476" s="178"/>
      <c r="AC476" s="178"/>
      <c r="AD476" s="178"/>
      <c r="AE476" s="178"/>
      <c r="AF476" s="178"/>
      <c r="AG476" s="178"/>
      <c r="AH476" s="178"/>
      <c r="AI476" s="178"/>
      <c r="AJ476" s="178"/>
      <c r="AK476" s="178"/>
      <c r="AL476" s="178"/>
      <c r="AM476" s="178"/>
      <c r="AN476" s="178"/>
      <c r="AO476" s="178"/>
      <c r="AP476" s="178"/>
      <c r="AQ476" s="178"/>
      <c r="AR476" s="178"/>
      <c r="AS476" s="178"/>
    </row>
    <row r="477" spans="1:45" s="21" customFormat="1" x14ac:dyDescent="0.4">
      <c r="A477" s="27"/>
      <c r="B477" s="645"/>
      <c r="C477" s="645"/>
      <c r="D477" s="131"/>
      <c r="E477" s="479" t="str">
        <f>"⁴ "&amp;'Talnagögn | Numerical Data'!$F$122</f>
        <v>⁴ N₂O og CO₂ losun vegna notkunar tilbúins áburðar og vegna kölkunar túna</v>
      </c>
      <c r="F477" s="178"/>
      <c r="G477" s="178"/>
      <c r="H477" s="127"/>
      <c r="I477" s="178"/>
      <c r="J477" s="178"/>
      <c r="K477" s="178"/>
      <c r="L477" s="178"/>
      <c r="M477" s="178"/>
      <c r="N477" s="178"/>
      <c r="O477" s="178"/>
      <c r="P477" s="178"/>
      <c r="Q477" s="178"/>
      <c r="R477" s="178"/>
      <c r="S477" s="178"/>
      <c r="T477" s="178"/>
      <c r="U477" s="178"/>
      <c r="V477" s="410"/>
      <c r="Y477" s="479" t="str">
        <f>"⁴ "&amp;'Talnagögn | Numerical Data'!$H$122</f>
        <v>⁴ N2O and CO2 emissions from liming and synthetic fertilizer application</v>
      </c>
      <c r="Z477" s="178"/>
      <c r="AA477" s="178"/>
      <c r="AB477" s="178"/>
      <c r="AC477" s="178"/>
      <c r="AD477" s="178"/>
      <c r="AE477" s="178"/>
      <c r="AF477" s="178"/>
      <c r="AG477" s="178"/>
      <c r="AH477" s="178"/>
      <c r="AI477" s="178"/>
      <c r="AJ477" s="178"/>
      <c r="AK477" s="178"/>
      <c r="AL477" s="178"/>
      <c r="AM477" s="178"/>
      <c r="AN477" s="178"/>
      <c r="AO477" s="178"/>
      <c r="AP477" s="178"/>
      <c r="AQ477" s="178"/>
      <c r="AR477" s="178"/>
      <c r="AS477" s="178"/>
    </row>
    <row r="478" spans="1:45" s="21" customFormat="1" x14ac:dyDescent="0.4">
      <c r="A478" s="27"/>
      <c r="B478" s="645"/>
      <c r="C478" s="645"/>
      <c r="D478" s="131"/>
      <c r="E478" s="479" t="str">
        <f>"⁵ "&amp;'Talnagögn | Numerical Data'!$F$128</f>
        <v>⁵ Losun vegna notkunar lífræns áburðar, þ.e. húsdýraáburðar, seyru og annars lífræns áburðar</v>
      </c>
      <c r="F478" s="178"/>
      <c r="G478" s="178"/>
      <c r="H478" s="127"/>
      <c r="I478" s="178"/>
      <c r="J478" s="178"/>
      <c r="K478" s="178"/>
      <c r="L478" s="178"/>
      <c r="M478" s="178"/>
      <c r="N478" s="178"/>
      <c r="O478" s="178"/>
      <c r="P478" s="178"/>
      <c r="Q478" s="178"/>
      <c r="R478" s="178"/>
      <c r="S478" s="178"/>
      <c r="T478" s="178"/>
      <c r="U478" s="178"/>
      <c r="V478" s="410"/>
      <c r="Y478" s="479" t="str">
        <f>"⁵ "&amp;'Talnagögn | Numerical Data'!$H$128</f>
        <v>⁵ Emissions from the use of organic fertilizers, i.e. manure, sludge and other organic fertilizers</v>
      </c>
      <c r="Z478" s="178"/>
      <c r="AA478" s="178"/>
      <c r="AB478" s="178"/>
      <c r="AC478" s="178"/>
      <c r="AD478" s="178"/>
      <c r="AE478" s="178"/>
      <c r="AF478" s="178"/>
      <c r="AG478" s="178"/>
      <c r="AH478" s="178"/>
      <c r="AI478" s="178"/>
      <c r="AJ478" s="178"/>
      <c r="AK478" s="178"/>
      <c r="AL478" s="178"/>
      <c r="AM478" s="178"/>
      <c r="AN478" s="178"/>
      <c r="AO478" s="178"/>
      <c r="AP478" s="178"/>
      <c r="AQ478" s="178"/>
      <c r="AR478" s="178"/>
      <c r="AS478" s="178"/>
    </row>
    <row r="479" spans="1:45" s="21" customFormat="1" x14ac:dyDescent="0.4">
      <c r="A479" s="27"/>
      <c r="B479" s="645"/>
      <c r="C479" s="645"/>
      <c r="D479" s="131"/>
      <c r="E479" s="479" t="str">
        <f>"⁶ "&amp;'Talnagögn | Numerical Data'!$F$143</f>
        <v>⁶ Losun vegna iðragerjunar og meðhöndlunar húsdýraáburðar</v>
      </c>
      <c r="F479" s="178"/>
      <c r="G479" s="178"/>
      <c r="H479" s="127"/>
      <c r="I479" s="178"/>
      <c r="J479" s="178"/>
      <c r="K479" s="178"/>
      <c r="L479" s="178"/>
      <c r="M479" s="178"/>
      <c r="N479" s="178"/>
      <c r="O479" s="178"/>
      <c r="P479" s="178"/>
      <c r="Q479" s="178"/>
      <c r="R479" s="178"/>
      <c r="S479" s="178"/>
      <c r="T479" s="178"/>
      <c r="U479" s="178"/>
      <c r="V479" s="410"/>
      <c r="Y479" s="479" t="str">
        <f>"⁶ "&amp;'Talnagögn | Numerical Data'!$H$143</f>
        <v>⁶ Emissions from enteric fermentation and manure management</v>
      </c>
      <c r="Z479" s="178"/>
      <c r="AA479" s="178"/>
      <c r="AB479" s="178"/>
      <c r="AC479" s="178"/>
      <c r="AD479" s="178"/>
      <c r="AE479" s="178"/>
      <c r="AF479" s="178"/>
      <c r="AG479" s="178"/>
      <c r="AH479" s="178"/>
      <c r="AI479" s="178"/>
      <c r="AJ479" s="178"/>
      <c r="AK479" s="178"/>
      <c r="AL479" s="178"/>
      <c r="AM479" s="178"/>
      <c r="AN479" s="178"/>
      <c r="AO479" s="178"/>
      <c r="AP479" s="178"/>
      <c r="AQ479" s="178"/>
      <c r="AR479" s="178"/>
      <c r="AS479" s="178"/>
    </row>
    <row r="480" spans="1:45" s="21" customFormat="1" x14ac:dyDescent="0.4">
      <c r="A480" s="27"/>
      <c r="B480" s="645"/>
      <c r="C480" s="645"/>
      <c r="D480" s="131"/>
      <c r="F480" s="178"/>
      <c r="G480" s="178"/>
      <c r="H480" s="127"/>
      <c r="I480" s="178"/>
      <c r="J480" s="178"/>
      <c r="K480" s="178"/>
      <c r="L480" s="178"/>
      <c r="M480" s="178"/>
      <c r="N480" s="178"/>
      <c r="O480" s="178"/>
      <c r="P480" s="178"/>
      <c r="Q480" s="178"/>
      <c r="R480" s="178"/>
      <c r="S480" s="178"/>
      <c r="T480" s="178"/>
      <c r="U480" s="178"/>
      <c r="V480" s="410"/>
      <c r="Z480" s="178"/>
      <c r="AA480" s="178"/>
      <c r="AB480" s="178"/>
      <c r="AC480" s="178"/>
      <c r="AD480" s="178"/>
      <c r="AE480" s="178"/>
      <c r="AF480" s="178"/>
      <c r="AG480" s="178"/>
      <c r="AH480" s="178"/>
      <c r="AI480" s="178"/>
      <c r="AJ480" s="178"/>
      <c r="AK480" s="178"/>
      <c r="AL480" s="178"/>
      <c r="AM480" s="178"/>
      <c r="AN480" s="178"/>
      <c r="AO480" s="178"/>
      <c r="AP480" s="178"/>
      <c r="AQ480" s="178"/>
      <c r="AR480" s="178"/>
      <c r="AS480" s="178"/>
    </row>
    <row r="481" spans="1:45" s="21" customFormat="1" x14ac:dyDescent="0.4">
      <c r="A481" s="27"/>
      <c r="B481" s="645"/>
      <c r="C481" s="645"/>
      <c r="D481" s="131"/>
      <c r="F481" s="178"/>
      <c r="G481" s="178"/>
      <c r="H481" s="127"/>
      <c r="I481" s="178"/>
      <c r="J481" s="178"/>
      <c r="K481" s="178"/>
      <c r="L481" s="178"/>
      <c r="M481" s="178"/>
      <c r="N481" s="178"/>
      <c r="O481" s="178"/>
      <c r="P481" s="178"/>
      <c r="Q481" s="178"/>
      <c r="R481" s="178"/>
      <c r="S481" s="178"/>
      <c r="T481" s="178"/>
      <c r="U481" s="178"/>
      <c r="V481" s="410"/>
      <c r="Z481" s="178"/>
      <c r="AA481" s="178"/>
      <c r="AB481" s="178"/>
      <c r="AC481" s="178"/>
      <c r="AD481" s="178"/>
      <c r="AE481" s="178"/>
      <c r="AF481" s="178"/>
      <c r="AG481" s="178"/>
      <c r="AH481" s="178"/>
      <c r="AI481" s="178"/>
      <c r="AJ481" s="178"/>
      <c r="AK481" s="178"/>
      <c r="AL481" s="178"/>
      <c r="AM481" s="178"/>
      <c r="AN481" s="178"/>
      <c r="AO481" s="178"/>
      <c r="AP481" s="178"/>
      <c r="AQ481" s="178"/>
      <c r="AR481" s="178"/>
      <c r="AS481" s="178"/>
    </row>
    <row r="482" spans="1:45" s="21" customFormat="1" ht="24.6" x14ac:dyDescent="0.55000000000000004">
      <c r="A482" s="27"/>
      <c r="B482" s="645"/>
      <c r="C482" s="645"/>
      <c r="D482" s="131"/>
      <c r="E482" s="676" t="str">
        <f>'Talnagögn | Numerical Data'!$E$183</f>
        <v>Losun frá landbúnaði samkvæmt IPCC-flokkun</v>
      </c>
      <c r="F482" s="178"/>
      <c r="G482" s="178"/>
      <c r="H482" s="127"/>
      <c r="I482" s="178"/>
      <c r="J482" s="178"/>
      <c r="K482" s="178"/>
      <c r="L482" s="178"/>
      <c r="M482" s="178"/>
      <c r="N482" s="178"/>
      <c r="O482" s="178"/>
      <c r="P482" s="178"/>
      <c r="Q482" s="178"/>
      <c r="R482" s="178"/>
      <c r="S482" s="178"/>
      <c r="T482" s="178"/>
      <c r="U482" s="178"/>
      <c r="V482" s="410"/>
      <c r="Y482" s="676" t="str">
        <f>'Talnagögn | Numerical Data'!$G$183</f>
        <v>Emissions from agriculture according to IPCC classification</v>
      </c>
      <c r="Z482" s="178"/>
      <c r="AA482" s="178"/>
      <c r="AB482" s="178"/>
      <c r="AC482" s="178"/>
      <c r="AD482" s="178"/>
      <c r="AE482" s="178"/>
      <c r="AF482" s="178"/>
      <c r="AG482" s="178"/>
      <c r="AH482" s="178"/>
      <c r="AI482" s="178"/>
      <c r="AJ482" s="178"/>
      <c r="AK482" s="178"/>
      <c r="AL482" s="178"/>
      <c r="AM482" s="178"/>
      <c r="AN482" s="178"/>
      <c r="AO482" s="178"/>
      <c r="AP482" s="178"/>
      <c r="AQ482" s="178"/>
      <c r="AR482" s="178"/>
      <c r="AS482" s="178"/>
    </row>
    <row r="483" spans="1:45" s="21" customFormat="1" ht="20.399999999999999" x14ac:dyDescent="0.45">
      <c r="A483" s="27"/>
      <c r="B483" s="645"/>
      <c r="C483" s="645"/>
      <c r="D483" s="131"/>
      <c r="E483" s="813" t="str">
        <f>'Talnagögn | Numerical Data'!$E$184</f>
        <v>Losun sundurliðuð samkvæmt alþjóðlegri flokkun IPCC í losunarbókhaldi</v>
      </c>
      <c r="F483" s="178"/>
      <c r="G483" s="178"/>
      <c r="H483" s="127"/>
      <c r="I483" s="178"/>
      <c r="J483" s="178"/>
      <c r="K483" s="178"/>
      <c r="L483" s="178"/>
      <c r="M483" s="178"/>
      <c r="N483" s="178"/>
      <c r="O483" s="178"/>
      <c r="P483" s="178"/>
      <c r="Q483" s="178"/>
      <c r="R483" s="178"/>
      <c r="S483" s="178"/>
      <c r="T483" s="178"/>
      <c r="U483" s="178"/>
      <c r="V483" s="410"/>
      <c r="Y483" s="813" t="str">
        <f>'Talnagögn | Numerical Data'!$G$184</f>
        <v>Emissions disaggregated according to the international IPCC classification used in greenhouse gas inventories</v>
      </c>
      <c r="Z483" s="178"/>
      <c r="AA483" s="178"/>
      <c r="AB483" s="178"/>
      <c r="AC483" s="178"/>
      <c r="AD483" s="178"/>
      <c r="AE483" s="178"/>
      <c r="AF483" s="178"/>
      <c r="AG483" s="178"/>
      <c r="AH483" s="178"/>
      <c r="AI483" s="178"/>
      <c r="AJ483" s="178"/>
      <c r="AK483" s="178"/>
      <c r="AL483" s="178"/>
      <c r="AM483" s="178"/>
      <c r="AN483" s="178"/>
      <c r="AO483" s="178"/>
      <c r="AP483" s="178"/>
      <c r="AQ483" s="178"/>
      <c r="AR483" s="178"/>
      <c r="AS483" s="178"/>
    </row>
    <row r="484" spans="1:45" ht="47.4" customHeight="1" x14ac:dyDescent="0.4">
      <c r="D484" s="123"/>
      <c r="E484" s="1392" t="str">
        <f>"STAÐAN ÁRIÐ "&amp;$A$1</f>
        <v>STAÐAN ÁRIÐ 2025</v>
      </c>
      <c r="F484" s="520"/>
      <c r="G484" s="520"/>
      <c r="H484" s="520"/>
      <c r="I484" s="520"/>
      <c r="J484" s="520"/>
      <c r="K484" s="520"/>
      <c r="L484" s="520"/>
      <c r="M484" s="520"/>
      <c r="O484" s="1392" t="str">
        <f>$O$5</f>
        <v>FRAMTÍÐARHORFUR</v>
      </c>
      <c r="P484" s="1419" t="str">
        <f>$P$5</f>
        <v>Áætluð breyting í losun út frá
sviðsmynd byggð á aðgerðum stjórvalda</v>
      </c>
      <c r="Q484" s="1420"/>
      <c r="R484" s="1420"/>
      <c r="S484" s="1420"/>
      <c r="V484" s="162"/>
      <c r="Y484" s="1392" t="str">
        <f>$Y$5</f>
        <v>2025 EMISSIONS</v>
      </c>
      <c r="Z484" s="520"/>
      <c r="AA484" s="520"/>
      <c r="AB484" s="520"/>
      <c r="AC484" s="520"/>
      <c r="AD484" s="520"/>
      <c r="AE484" s="520"/>
      <c r="AF484" s="520"/>
      <c r="AG484" s="520"/>
      <c r="AI484" s="1392" t="str">
        <f>$AI$5</f>
        <v>OUTLOOKS</v>
      </c>
      <c r="AJ484" s="1419" t="str">
        <f>$AJ$5</f>
        <v>Estimated change in emissions based on
government policy-based scenario</v>
      </c>
      <c r="AK484" s="1420"/>
      <c r="AL484" s="1420"/>
      <c r="AM484" s="1424"/>
    </row>
    <row r="485" spans="1:45" s="21" customFormat="1" ht="16.95" customHeight="1" x14ac:dyDescent="0.4">
      <c r="A485" s="27"/>
      <c r="B485" s="645"/>
      <c r="C485" s="645"/>
      <c r="D485" s="131" t="s">
        <v>44</v>
      </c>
      <c r="E485" s="1392"/>
      <c r="F485" s="1395" t="str">
        <f>"Losun "&amp;$A$1</f>
        <v>Losun 2025</v>
      </c>
      <c r="G485" s="1421"/>
      <c r="H485" s="1394" t="str">
        <f>"Breyting frá "&amp;$B$3</f>
        <v>Breyting frá 2024</v>
      </c>
      <c r="I485" s="1421"/>
      <c r="J485" s="1394" t="str">
        <f>"Breyting frá "&amp;$B$2</f>
        <v>Breyting frá 2005</v>
      </c>
      <c r="K485" s="1421"/>
      <c r="L485" s="1394" t="str">
        <f>"Breyting frá "&amp;$B$1</f>
        <v>Breyting frá 1990</v>
      </c>
      <c r="M485" s="1395"/>
      <c r="N485" s="127"/>
      <c r="O485" s="1392"/>
      <c r="P485" s="1394" t="s">
        <v>342</v>
      </c>
      <c r="Q485" s="1421"/>
      <c r="R485" s="1394" t="s">
        <v>343</v>
      </c>
      <c r="S485" s="1395"/>
      <c r="T485" s="178"/>
      <c r="U485" s="178"/>
      <c r="V485" s="410"/>
      <c r="Y485" s="1392"/>
      <c r="Z485" s="1422" t="str">
        <f>$Z$6</f>
        <v>Emissions in 2025</v>
      </c>
      <c r="AA485" s="1421"/>
      <c r="AB485" s="1394" t="str">
        <f>$AB$6</f>
        <v>Change from 2024</v>
      </c>
      <c r="AC485" s="1421"/>
      <c r="AD485" s="1394" t="str">
        <f>$AD$6</f>
        <v>Change from 2005</v>
      </c>
      <c r="AE485" s="1421"/>
      <c r="AF485" s="1394" t="str">
        <f>$AF$6</f>
        <v>Change from 1990</v>
      </c>
      <c r="AG485" s="1395"/>
      <c r="AH485" s="127"/>
      <c r="AI485" s="1392"/>
      <c r="AJ485" s="1423" t="str">
        <f>$AJ$6</f>
        <v>2030 compared to 2005</v>
      </c>
      <c r="AK485" s="1421"/>
      <c r="AL485" s="1394" t="str">
        <f>$AL$6</f>
        <v>2055 compared to 1990</v>
      </c>
      <c r="AM485" s="1421"/>
      <c r="AN485" s="178"/>
      <c r="AO485" s="178"/>
      <c r="AP485" s="178"/>
      <c r="AQ485" s="178"/>
      <c r="AR485" s="178"/>
      <c r="AS485" s="178"/>
    </row>
    <row r="486" spans="1:45" s="21" customFormat="1" ht="17.399999999999999" customHeight="1" thickBot="1" x14ac:dyDescent="0.45">
      <c r="A486" s="27"/>
      <c r="B486" s="645"/>
      <c r="C486" s="645"/>
      <c r="D486" s="131" t="s">
        <v>44</v>
      </c>
      <c r="E486" s="1393"/>
      <c r="F486" s="488" t="s">
        <v>349</v>
      </c>
      <c r="G486" s="489" t="s">
        <v>4</v>
      </c>
      <c r="H486" s="488" t="str">
        <f>$F$7</f>
        <v>Þús. tonn CO₂-íg.</v>
      </c>
      <c r="I486" s="489" t="s">
        <v>4</v>
      </c>
      <c r="J486" s="488" t="str">
        <f>$F$7</f>
        <v>Þús. tonn CO₂-íg.</v>
      </c>
      <c r="K486" s="489" t="s">
        <v>4</v>
      </c>
      <c r="L486" s="488" t="str">
        <f>$F$7</f>
        <v>Þús. tonn CO₂-íg.</v>
      </c>
      <c r="M486" s="488" t="s">
        <v>4</v>
      </c>
      <c r="N486" s="127"/>
      <c r="O486" s="1393"/>
      <c r="P486" s="488" t="str">
        <f>$F$7</f>
        <v>Þús. tonn CO₂-íg.</v>
      </c>
      <c r="Q486" s="489" t="s">
        <v>4</v>
      </c>
      <c r="R486" s="488" t="str">
        <f>$F$7</f>
        <v>Þús. tonn CO₂-íg.</v>
      </c>
      <c r="S486" s="488" t="s">
        <v>4</v>
      </c>
      <c r="T486" s="178"/>
      <c r="U486" s="178"/>
      <c r="V486" s="410"/>
      <c r="Y486" s="1393"/>
      <c r="Z486" s="488" t="str">
        <f>$Z$7</f>
        <v>Thousand tons CO₂e</v>
      </c>
      <c r="AA486" s="489" t="s">
        <v>4</v>
      </c>
      <c r="AB486" s="488" t="str">
        <f>$Z$7</f>
        <v>Thousand tons CO₂e</v>
      </c>
      <c r="AC486" s="489" t="s">
        <v>4</v>
      </c>
      <c r="AD486" s="488" t="str">
        <f>$F$7</f>
        <v>Þús. tonn CO₂-íg.</v>
      </c>
      <c r="AE486" s="489" t="s">
        <v>4</v>
      </c>
      <c r="AF486" s="488" t="str">
        <f>$Z$7</f>
        <v>Thousand tons CO₂e</v>
      </c>
      <c r="AG486" s="488" t="s">
        <v>4</v>
      </c>
      <c r="AH486" s="127"/>
      <c r="AI486" s="1393"/>
      <c r="AJ486" s="488" t="str">
        <f>$Z$7</f>
        <v>Thousand tons CO₂e</v>
      </c>
      <c r="AK486" s="489" t="s">
        <v>4</v>
      </c>
      <c r="AL486" s="488" t="str">
        <f>$Z$7</f>
        <v>Thousand tons CO₂e</v>
      </c>
      <c r="AM486" s="488" t="s">
        <v>4</v>
      </c>
      <c r="AN486" s="178"/>
      <c r="AO486" s="178"/>
      <c r="AP486" s="178"/>
      <c r="AQ486" s="178"/>
      <c r="AR486" s="178"/>
      <c r="AS486" s="178"/>
    </row>
    <row r="487" spans="1:45" s="21" customFormat="1" ht="21" customHeight="1" thickTop="1" thickBot="1" x14ac:dyDescent="0.45">
      <c r="A487" s="27" t="s">
        <v>60</v>
      </c>
      <c r="B487" s="27" t="s">
        <v>263</v>
      </c>
      <c r="C487" s="27" t="s">
        <v>267</v>
      </c>
      <c r="D487" s="131" t="s">
        <v>44</v>
      </c>
      <c r="E487" s="491" t="str">
        <f>'Talnagögn | Numerical Data'!$E$188&amp;" ¹"</f>
        <v>Nytjajarðvegur ¹</v>
      </c>
      <c r="F487" s="486" cm="1">
        <f t="array" ref="F487">INDEX('Talnagögn | Numerical Data'!$1:$1048576,_xlfn.XMATCH($A487,'Talnagögn | Numerical Data'!$B:$B),_xlfn.XMATCH($A$1,'Talnagögn | Numerical Data'!$1:$1))</f>
        <v>309.7570133313846</v>
      </c>
      <c r="G487" s="493">
        <f>$F$487/$F$491</f>
        <v>0.46347190848255221</v>
      </c>
      <c r="H487" s="487" cm="1">
        <f t="array" ref="H487">INDEX('Talnagögn | Numerical Data'!$1:$1048576,_xlfn.XMATCH($A487,'Talnagögn | Numerical Data'!$B:$B),_xlfn.XMATCH($A$1,'Talnagögn | Numerical Data'!$1:$1))-INDEX('Talnagögn | Numerical Data'!$1:$1048576,_xlfn.XMATCH($A487,'Talnagögn | Numerical Data'!$B:$B),_xlfn.XMATCH($B$3,'Talnagögn | Numerical Data'!$1:$1))</f>
        <v>1.2325489334918984</v>
      </c>
      <c r="I487" s="496" cm="1">
        <f t="array" ref="I487">INDEX('Talnagögn | Numerical Data'!$1:$1048576,_xlfn.XMATCH($A487,'Talnagögn | Numerical Data'!$B:$B),_xlfn.XMATCH($A$1,'Talnagögn | Numerical Data'!$1:$1))/INDEX('Talnagögn | Numerical Data'!$1:$1048576,_xlfn.XMATCH($A487,'Talnagögn | Numerical Data'!$B:$B),_xlfn.XMATCH($B$3,'Talnagögn | Numerical Data'!$1:$1))-1</f>
        <v>3.9949795744635974E-3</v>
      </c>
      <c r="J487" s="487" cm="1">
        <f t="array" ref="J487">INDEX('Talnagögn | Numerical Data'!$1:$1048576,_xlfn.XMATCH($A487,'Talnagögn | Numerical Data'!$B:$B),_xlfn.XMATCH($A$1,'Talnagögn | Numerical Data'!$1:$1))-INDEX('Talnagögn | Numerical Data'!$1:$1048576,_xlfn.XMATCH($A487,'Talnagögn | Numerical Data'!$B:$B),_xlfn.XMATCH($B$2,'Talnagögn | Numerical Data'!$1:$1))</f>
        <v>-1.2530701128690112</v>
      </c>
      <c r="K487" s="496" cm="1">
        <f t="array" ref="K487">INDEX('Talnagögn | Numerical Data'!$1:$1048576,_xlfn.XMATCH($A487,'Talnagögn | Numerical Data'!$B:$B),_xlfn.XMATCH($A$1,'Talnagögn | Numerical Data'!$1:$1))/INDEX('Talnagögn | Numerical Data'!$1:$1048576,_xlfn.XMATCH($A487,'Talnagögn | Numerical Data'!$B:$B),_xlfn.XMATCH($B$2,'Talnagögn | Numerical Data'!$1:$1))-1</f>
        <v>-4.029033718109698E-3</v>
      </c>
      <c r="L487" s="486" cm="1">
        <f t="array" ref="L487">INDEX('Talnagögn | Numerical Data'!$1:$1048576,_xlfn.XMATCH($A487,'Talnagögn | Numerical Data'!$B:$B),_xlfn.XMATCH($A$1,'Talnagögn | Numerical Data'!$1:$1))-INDEX('Talnagögn | Numerical Data'!$1:$1048576,_xlfn.XMATCH($A487,'Talnagögn | Numerical Data'!$B:$B),_xlfn.XMATCH($B$1,'Talnagögn | Numerical Data'!$1:$1))</f>
        <v>27.146966443217764</v>
      </c>
      <c r="M487" s="480" cm="1">
        <f t="array" ref="M487">INDEX('Talnagögn | Numerical Data'!$1:$1048576,_xlfn.XMATCH($A487,'Talnagögn | Numerical Data'!$B:$B),_xlfn.XMATCH($A$1,'Talnagögn | Numerical Data'!$1:$1))/INDEX('Talnagögn | Numerical Data'!$1:$1048576,_xlfn.XMATCH($A487,'Talnagögn | Numerical Data'!$B:$B),_xlfn.XMATCH($B$1,'Talnagögn | Numerical Data'!$1:$1))-1</f>
        <v>9.6058037363265569E-2</v>
      </c>
      <c r="O487" s="491" t="str">
        <f>'Talnagögn | Numerical Data'!$E$188</f>
        <v>Nytjajarðvegur</v>
      </c>
      <c r="P487" s="486" cm="1">
        <f t="array" ref="P487">INDEX('Talnagögn | Numerical Data'!$1:$1048576,_xlfn.XMATCH($B487,'Talnagögn | Numerical Data'!$C:$C),_xlfn.XMATCH($B$4,'Talnagögn | Numerical Data'!$1:$1))-INDEX('Talnagögn | Numerical Data'!$1:$1048576,_xlfn.XMATCH($A487,'Talnagögn | Numerical Data'!$B:$B),_xlfn.XMATCH($B$2,'Talnagögn | Numerical Data'!$1:$1))</f>
        <v>-11.669593958634266</v>
      </c>
      <c r="Q487" s="495" cm="1">
        <f t="array" ref="Q487">INDEX('Talnagögn | Numerical Data'!$1:$1048576,_xlfn.XMATCH($B487,'Talnagögn | Numerical Data'!$C:$C),_xlfn.XMATCH($B$4,'Talnagögn | Numerical Data'!$1:$1))/INDEX('Talnagögn | Numerical Data'!$1:$1048576,_xlfn.XMATCH($A487,'Talnagögn | Numerical Data'!$B:$B),_xlfn.XMATCH($B$2,'Talnagögn | Numerical Data'!$1:$1))-1</f>
        <v>-3.7521593606870796E-2</v>
      </c>
      <c r="R487" s="486" cm="1">
        <f t="array" ref="R487">INDEX('Talnagögn | Numerical Data'!$1:$1048576,_xlfn.XMATCH($B487,'Talnagögn | Numerical Data'!$C:$C),_xlfn.XMATCH($B$5,'Talnagögn | Numerical Data'!$1:$1))-INDEX('Talnagögn | Numerical Data'!$1:$1048576,_xlfn.XMATCH($A487,'Talnagögn | Numerical Data'!$B:$B),_xlfn.XMATCH($B$1,'Talnagögn | Numerical Data'!$1:$1))</f>
        <v>9.5534429410463417</v>
      </c>
      <c r="S487" s="480" cm="1">
        <f t="array" ref="S487">INDEX('Talnagögn | Numerical Data'!$1:$1048576,_xlfn.XMATCH($B487,'Talnagögn | Numerical Data'!$C:$C),_xlfn.XMATCH($B$5,'Talnagögn | Numerical Data'!$1:$1))/INDEX('Talnagögn | Numerical Data'!$1:$1048576,_xlfn.XMATCH($A487,'Talnagögn | Numerical Data'!$B:$B),_xlfn.XMATCH($B$1,'Talnagögn | Numerical Data'!$1:$1))-1</f>
        <v>3.3804328778257453E-2</v>
      </c>
      <c r="V487" s="408"/>
      <c r="Y487" s="491" t="str">
        <f>'Talnagögn | Numerical Data'!$G188&amp;" ¹"</f>
        <v>Agricultural Soils ¹</v>
      </c>
      <c r="Z487" s="486" cm="1">
        <f t="array" ref="Z487">INDEX('Talnagögn | Numerical Data'!$1:$1048576,_xlfn.XMATCH($A487,'Talnagögn | Numerical Data'!$B:$B),_xlfn.XMATCH($A$1,'Talnagögn | Numerical Data'!$1:$1))</f>
        <v>309.7570133313846</v>
      </c>
      <c r="AA487" s="493">
        <f>$F$487/$F$491</f>
        <v>0.46347190848255221</v>
      </c>
      <c r="AB487" s="487" cm="1">
        <f t="array" ref="AB487">INDEX('Talnagögn | Numerical Data'!$1:$1048576,_xlfn.XMATCH($A487,'Talnagögn | Numerical Data'!$B:$B),_xlfn.XMATCH($A$1,'Talnagögn | Numerical Data'!$1:$1))-INDEX('Talnagögn | Numerical Data'!$1:$1048576,_xlfn.XMATCH($A487,'Talnagögn | Numerical Data'!$B:$B),_xlfn.XMATCH($B$3,'Talnagögn | Numerical Data'!$1:$1))</f>
        <v>1.2325489334918984</v>
      </c>
      <c r="AC487" s="496" cm="1">
        <f t="array" ref="AC487">INDEX('Talnagögn | Numerical Data'!$1:$1048576,_xlfn.XMATCH($A487,'Talnagögn | Numerical Data'!$B:$B),_xlfn.XMATCH($A$1,'Talnagögn | Numerical Data'!$1:$1))/INDEX('Talnagögn | Numerical Data'!$1:$1048576,_xlfn.XMATCH($A487,'Talnagögn | Numerical Data'!$B:$B),_xlfn.XMATCH($B$3,'Talnagögn | Numerical Data'!$1:$1))-1</f>
        <v>3.9949795744635974E-3</v>
      </c>
      <c r="AD487" s="487" cm="1">
        <f t="array" ref="AD487">INDEX('Talnagögn | Numerical Data'!$1:$1048576,_xlfn.XMATCH($A487,'Talnagögn | Numerical Data'!$B:$B),_xlfn.XMATCH($A$1,'Talnagögn | Numerical Data'!$1:$1))-INDEX('Talnagögn | Numerical Data'!$1:$1048576,_xlfn.XMATCH($A487,'Talnagögn | Numerical Data'!$B:$B),_xlfn.XMATCH($B$2,'Talnagögn | Numerical Data'!$1:$1))</f>
        <v>-1.2530701128690112</v>
      </c>
      <c r="AE487" s="496" cm="1">
        <f t="array" ref="AE487">INDEX('Talnagögn | Numerical Data'!$1:$1048576,_xlfn.XMATCH($A487,'Talnagögn | Numerical Data'!$B:$B),_xlfn.XMATCH($A$1,'Talnagögn | Numerical Data'!$1:$1))/INDEX('Talnagögn | Numerical Data'!$1:$1048576,_xlfn.XMATCH($A487,'Talnagögn | Numerical Data'!$B:$B),_xlfn.XMATCH($B$2,'Talnagögn | Numerical Data'!$1:$1))-1</f>
        <v>-4.029033718109698E-3</v>
      </c>
      <c r="AF487" s="486" cm="1">
        <f t="array" ref="AF487">INDEX('Talnagögn | Numerical Data'!$1:$1048576,_xlfn.XMATCH($A487,'Talnagögn | Numerical Data'!$B:$B),_xlfn.XMATCH($A$1,'Talnagögn | Numerical Data'!$1:$1))-INDEX('Talnagögn | Numerical Data'!$1:$1048576,_xlfn.XMATCH($A487,'Talnagögn | Numerical Data'!$B:$B),_xlfn.XMATCH($B$1,'Talnagögn | Numerical Data'!$1:$1))</f>
        <v>27.146966443217764</v>
      </c>
      <c r="AG487" s="480" cm="1">
        <f t="array" ref="AG487">INDEX('Talnagögn | Numerical Data'!$1:$1048576,_xlfn.XMATCH($A487,'Talnagögn | Numerical Data'!$B:$B),_xlfn.XMATCH($A$1,'Talnagögn | Numerical Data'!$1:$1))/INDEX('Talnagögn | Numerical Data'!$1:$1048576,_xlfn.XMATCH($A487,'Talnagögn | Numerical Data'!$B:$B),_xlfn.XMATCH($B$1,'Talnagögn | Numerical Data'!$1:$1))-1</f>
        <v>9.6058037363265569E-2</v>
      </c>
      <c r="AI487" s="491" t="str">
        <f>'Talnagögn | Numerical Data'!$G188</f>
        <v>Agricultural Soils</v>
      </c>
      <c r="AJ487" s="486" cm="1">
        <f t="array" ref="AJ487">INDEX('Talnagögn | Numerical Data'!$1:$1048576,_xlfn.XMATCH($B487,'Talnagögn | Numerical Data'!$C:$C),_xlfn.XMATCH($B$4,'Talnagögn | Numerical Data'!$1:$1))-INDEX('Talnagögn | Numerical Data'!$1:$1048576,_xlfn.XMATCH($A487,'Talnagögn | Numerical Data'!$B:$B),_xlfn.XMATCH($B$2,'Talnagögn | Numerical Data'!$1:$1))</f>
        <v>-11.669593958634266</v>
      </c>
      <c r="AK487" s="495" cm="1">
        <f t="array" ref="AK487">INDEX('Talnagögn | Numerical Data'!$1:$1048576,_xlfn.XMATCH($B487,'Talnagögn | Numerical Data'!$C:$C),_xlfn.XMATCH($B$4,'Talnagögn | Numerical Data'!$1:$1))/INDEX('Talnagögn | Numerical Data'!$1:$1048576,_xlfn.XMATCH($A487,'Talnagögn | Numerical Data'!$B:$B),_xlfn.XMATCH($B$2,'Talnagögn | Numerical Data'!$1:$1))-1</f>
        <v>-3.7521593606870796E-2</v>
      </c>
      <c r="AL487" s="486" cm="1">
        <f t="array" ref="AL487">INDEX('Talnagögn | Numerical Data'!$1:$1048576,_xlfn.XMATCH($B487,'Talnagögn | Numerical Data'!$C:$C),_xlfn.XMATCH($B$5,'Talnagögn | Numerical Data'!$1:$1))-INDEX('Talnagögn | Numerical Data'!$1:$1048576,_xlfn.XMATCH($A487,'Talnagögn | Numerical Data'!$B:$B),_xlfn.XMATCH($B$1,'Talnagögn | Numerical Data'!$1:$1))</f>
        <v>9.5534429410463417</v>
      </c>
      <c r="AM487" s="480" cm="1">
        <f t="array" ref="AM487">INDEX('Talnagögn | Numerical Data'!$1:$1048576,_xlfn.XMATCH($B487,'Talnagögn | Numerical Data'!$C:$C),_xlfn.XMATCH($B$5,'Talnagögn | Numerical Data'!$1:$1))/INDEX('Talnagögn | Numerical Data'!$1:$1048576,_xlfn.XMATCH($A487,'Talnagögn | Numerical Data'!$B:$B),_xlfn.XMATCH($B$1,'Talnagögn | Numerical Data'!$1:$1))-1</f>
        <v>3.3804328778257453E-2</v>
      </c>
    </row>
    <row r="488" spans="1:45" s="21" customFormat="1" ht="21" customHeight="1" thickTop="1" x14ac:dyDescent="0.4">
      <c r="A488" s="27" t="s">
        <v>58</v>
      </c>
      <c r="B488" s="27" t="s">
        <v>261</v>
      </c>
      <c r="C488" s="27" t="s">
        <v>265</v>
      </c>
      <c r="D488" s="131" t="s">
        <v>44</v>
      </c>
      <c r="E488" s="490" t="str">
        <f>'Talnagögn | Numerical Data'!$E$186&amp;" ²"</f>
        <v>Iðragerjun ²</v>
      </c>
      <c r="F488" s="485" cm="1">
        <f t="array" ref="F488">INDEX('Talnagögn | Numerical Data'!$1:$1048576,_xlfn.XMATCH($A488,'Talnagögn | Numerical Data'!$B:$B),_xlfn.XMATCH($A$1,'Talnagögn | Numerical Data'!$1:$1))</f>
        <v>274.48720815422439</v>
      </c>
      <c r="G488" s="492">
        <f>$F$488/$F$491</f>
        <v>0.41069969279819468</v>
      </c>
      <c r="H488" s="487" cm="1">
        <f t="array" ref="H488">INDEX('Talnagögn | Numerical Data'!$1:$1048576,_xlfn.XMATCH($A488,'Talnagögn | Numerical Data'!$B:$B),_xlfn.XMATCH($A$1,'Talnagögn | Numerical Data'!$1:$1))-INDEX('Talnagögn | Numerical Data'!$1:$1048576,_xlfn.XMATCH($A488,'Talnagögn | Numerical Data'!$B:$B),_xlfn.XMATCH($B$3,'Talnagögn | Numerical Data'!$1:$1))</f>
        <v>-2.6211939771627613</v>
      </c>
      <c r="I488" s="915" cm="1">
        <f t="array" ref="I488">INDEX('Talnagögn | Numerical Data'!$1:$1048576,_xlfn.XMATCH($A488,'Talnagögn | Numerical Data'!$B:$B),_xlfn.XMATCH($A$1,'Talnagögn | Numerical Data'!$1:$1))/INDEX('Talnagögn | Numerical Data'!$1:$1048576,_xlfn.XMATCH($A488,'Talnagögn | Numerical Data'!$B:$B),_xlfn.XMATCH($B$3,'Talnagögn | Numerical Data'!$1:$1))-1</f>
        <v>-9.4590923876785027E-3</v>
      </c>
      <c r="J488" s="486" cm="1">
        <f t="array" ref="J488">INDEX('Talnagögn | Numerical Data'!$1:$1048576,_xlfn.XMATCH($A488,'Talnagögn | Numerical Data'!$B:$B),_xlfn.XMATCH($A$1,'Talnagögn | Numerical Data'!$1:$1))-INDEX('Talnagögn | Numerical Data'!$1:$1048576,_xlfn.XMATCH($A488,'Talnagögn | Numerical Data'!$B:$B),_xlfn.XMATCH($B$2,'Talnagögn | Numerical Data'!$1:$1))</f>
        <v>-14.081834475162623</v>
      </c>
      <c r="K488" s="494" cm="1">
        <f t="array" ref="K488">INDEX('Talnagögn | Numerical Data'!$1:$1048576,_xlfn.XMATCH($A488,'Talnagögn | Numerical Data'!$B:$B),_xlfn.XMATCH($A$1,'Talnagögn | Numerical Data'!$1:$1))/INDEX('Talnagögn | Numerical Data'!$1:$1048576,_xlfn.XMATCH($A488,'Talnagögn | Numerical Data'!$B:$B),_xlfn.XMATCH($B$2,'Talnagögn | Numerical Data'!$1:$1))-1</f>
        <v>-4.8798839774535696E-2</v>
      </c>
      <c r="L488" s="486" cm="1">
        <f t="array" ref="L488">INDEX('Talnagögn | Numerical Data'!$1:$1048576,_xlfn.XMATCH($A488,'Talnagögn | Numerical Data'!$B:$B),_xlfn.XMATCH($A$1,'Talnagögn | Numerical Data'!$1:$1))-INDEX('Talnagögn | Numerical Data'!$1:$1048576,_xlfn.XMATCH($A488,'Talnagögn | Numerical Data'!$B:$B),_xlfn.XMATCH($B$1,'Talnagögn | Numerical Data'!$1:$1))</f>
        <v>-65.60793326002721</v>
      </c>
      <c r="M488" s="480" cm="1">
        <f t="array" ref="M488">INDEX('Talnagögn | Numerical Data'!$1:$1048576,_xlfn.XMATCH($A488,'Talnagögn | Numerical Data'!$B:$B),_xlfn.XMATCH($A$1,'Talnagögn | Numerical Data'!$1:$1))/INDEX('Talnagögn | Numerical Data'!$1:$1048576,_xlfn.XMATCH($A488,'Talnagögn | Numerical Data'!$B:$B),_xlfn.XMATCH($B$1,'Talnagögn | Numerical Data'!$1:$1))-1</f>
        <v>-0.1929105278811194</v>
      </c>
      <c r="O488" s="490" t="str">
        <f>'Talnagögn | Numerical Data'!$E$186</f>
        <v>Iðragerjun</v>
      </c>
      <c r="P488" s="486" cm="1">
        <f t="array" ref="P488">INDEX('Talnagögn | Numerical Data'!$1:$1048576,_xlfn.XMATCH($B488,'Talnagögn | Numerical Data'!$C:$C),_xlfn.XMATCH($B$4,'Talnagögn | Numerical Data'!$1:$1))-INDEX('Talnagögn | Numerical Data'!$1:$1048576,_xlfn.XMATCH($A488,'Talnagögn | Numerical Data'!$B:$B),_xlfn.XMATCH($B$2,'Talnagögn | Numerical Data'!$1:$1))</f>
        <v>-19.729919942630261</v>
      </c>
      <c r="Q488" s="494" cm="1">
        <f t="array" ref="Q488">INDEX('Talnagögn | Numerical Data'!$1:$1048576,_xlfn.XMATCH($B488,'Talnagögn | Numerical Data'!$C:$C),_xlfn.XMATCH($B$4,'Talnagögn | Numerical Data'!$1:$1))/INDEX('Talnagögn | Numerical Data'!$1:$1048576,_xlfn.XMATCH($A488,'Talnagögn | Numerical Data'!$B:$B),_xlfn.XMATCH($B$2,'Talnagögn | Numerical Data'!$1:$1))-1</f>
        <v>-6.8371575006296315E-2</v>
      </c>
      <c r="R488" s="486" cm="1">
        <f t="array" ref="R488">INDEX('Talnagögn | Numerical Data'!$1:$1048576,_xlfn.XMATCH($B488,'Talnagögn | Numerical Data'!$C:$C),_xlfn.XMATCH($B$5,'Talnagögn | Numerical Data'!$1:$1))-INDEX('Talnagögn | Numerical Data'!$1:$1048576,_xlfn.XMATCH($A488,'Talnagögn | Numerical Data'!$B:$B),_xlfn.XMATCH($B$1,'Talnagögn | Numerical Data'!$1:$1))</f>
        <v>-118.08601066529934</v>
      </c>
      <c r="S488" s="684" cm="1">
        <f t="array" ref="S488">INDEX('Talnagögn | Numerical Data'!$1:$1048576,_xlfn.XMATCH($B488,'Talnagögn | Numerical Data'!$C:$C),_xlfn.XMATCH($B$5,'Talnagögn | Numerical Data'!$1:$1))/INDEX('Talnagögn | Numerical Data'!$1:$1048576,_xlfn.XMATCH($A488,'Talnagögn | Numerical Data'!$B:$B),_xlfn.XMATCH($B$1,'Talnagögn | Numerical Data'!$1:$1))-1</f>
        <v>-0.34721463580529399</v>
      </c>
      <c r="V488" s="408"/>
      <c r="Y488" s="490" t="str">
        <f>'Talnagögn | Numerical Data'!$G186&amp;" ²"</f>
        <v>Enteric Fermentation ²</v>
      </c>
      <c r="Z488" s="485" cm="1">
        <f t="array" ref="Z488">INDEX('Talnagögn | Numerical Data'!$1:$1048576,_xlfn.XMATCH($A488,'Talnagögn | Numerical Data'!$B:$B),_xlfn.XMATCH($A$1,'Talnagögn | Numerical Data'!$1:$1))</f>
        <v>274.48720815422439</v>
      </c>
      <c r="AA488" s="492">
        <f>$F$488/$F$491</f>
        <v>0.41069969279819468</v>
      </c>
      <c r="AB488" s="487" cm="1">
        <f t="array" ref="AB488">INDEX('Talnagögn | Numerical Data'!$1:$1048576,_xlfn.XMATCH($A488,'Talnagögn | Numerical Data'!$B:$B),_xlfn.XMATCH($A$1,'Talnagögn | Numerical Data'!$1:$1))-INDEX('Talnagögn | Numerical Data'!$1:$1048576,_xlfn.XMATCH($A488,'Talnagögn | Numerical Data'!$B:$B),_xlfn.XMATCH($B$3,'Talnagögn | Numerical Data'!$1:$1))</f>
        <v>-2.6211939771627613</v>
      </c>
      <c r="AC488" s="915" cm="1">
        <f t="array" ref="AC488">INDEX('Talnagögn | Numerical Data'!$1:$1048576,_xlfn.XMATCH($A488,'Talnagögn | Numerical Data'!$B:$B),_xlfn.XMATCH($A$1,'Talnagögn | Numerical Data'!$1:$1))/INDEX('Talnagögn | Numerical Data'!$1:$1048576,_xlfn.XMATCH($A488,'Talnagögn | Numerical Data'!$B:$B),_xlfn.XMATCH($B$3,'Talnagögn | Numerical Data'!$1:$1))-1</f>
        <v>-9.4590923876785027E-3</v>
      </c>
      <c r="AD488" s="486" cm="1">
        <f t="array" ref="AD488">INDEX('Talnagögn | Numerical Data'!$1:$1048576,_xlfn.XMATCH($A488,'Talnagögn | Numerical Data'!$B:$B),_xlfn.XMATCH($A$1,'Talnagögn | Numerical Data'!$1:$1))-INDEX('Talnagögn | Numerical Data'!$1:$1048576,_xlfn.XMATCH($A488,'Talnagögn | Numerical Data'!$B:$B),_xlfn.XMATCH($B$2,'Talnagögn | Numerical Data'!$1:$1))</f>
        <v>-14.081834475162623</v>
      </c>
      <c r="AE488" s="494" cm="1">
        <f t="array" ref="AE488">INDEX('Talnagögn | Numerical Data'!$1:$1048576,_xlfn.XMATCH($A488,'Talnagögn | Numerical Data'!$B:$B),_xlfn.XMATCH($A$1,'Talnagögn | Numerical Data'!$1:$1))/INDEX('Talnagögn | Numerical Data'!$1:$1048576,_xlfn.XMATCH($A488,'Talnagögn | Numerical Data'!$B:$B),_xlfn.XMATCH($B$2,'Talnagögn | Numerical Data'!$1:$1))-1</f>
        <v>-4.8798839774535696E-2</v>
      </c>
      <c r="AF488" s="486" cm="1">
        <f t="array" ref="AF488">INDEX('Talnagögn | Numerical Data'!$1:$1048576,_xlfn.XMATCH($A488,'Talnagögn | Numerical Data'!$B:$B),_xlfn.XMATCH($A$1,'Talnagögn | Numerical Data'!$1:$1))-INDEX('Talnagögn | Numerical Data'!$1:$1048576,_xlfn.XMATCH($A488,'Talnagögn | Numerical Data'!$B:$B),_xlfn.XMATCH($B$1,'Talnagögn | Numerical Data'!$1:$1))</f>
        <v>-65.60793326002721</v>
      </c>
      <c r="AG488" s="480" cm="1">
        <f t="array" ref="AG488">INDEX('Talnagögn | Numerical Data'!$1:$1048576,_xlfn.XMATCH($A488,'Talnagögn | Numerical Data'!$B:$B),_xlfn.XMATCH($A$1,'Talnagögn | Numerical Data'!$1:$1))/INDEX('Talnagögn | Numerical Data'!$1:$1048576,_xlfn.XMATCH($A488,'Talnagögn | Numerical Data'!$B:$B),_xlfn.XMATCH($B$1,'Talnagögn | Numerical Data'!$1:$1))-1</f>
        <v>-0.1929105278811194</v>
      </c>
      <c r="AI488" s="490" t="str">
        <f>'Talnagögn | Numerical Data'!$G186</f>
        <v>Enteric Fermentation</v>
      </c>
      <c r="AJ488" s="486" cm="1">
        <f t="array" ref="AJ488">INDEX('Talnagögn | Numerical Data'!$1:$1048576,_xlfn.XMATCH($B488,'Talnagögn | Numerical Data'!$C:$C),_xlfn.XMATCH($B$4,'Talnagögn | Numerical Data'!$1:$1))-INDEX('Talnagögn | Numerical Data'!$1:$1048576,_xlfn.XMATCH($A488,'Talnagögn | Numerical Data'!$B:$B),_xlfn.XMATCH($B$2,'Talnagögn | Numerical Data'!$1:$1))</f>
        <v>-19.729919942630261</v>
      </c>
      <c r="AK488" s="494" cm="1">
        <f t="array" ref="AK488">INDEX('Talnagögn | Numerical Data'!$1:$1048576,_xlfn.XMATCH($B488,'Talnagögn | Numerical Data'!$C:$C),_xlfn.XMATCH($B$4,'Talnagögn | Numerical Data'!$1:$1))/INDEX('Talnagögn | Numerical Data'!$1:$1048576,_xlfn.XMATCH($A488,'Talnagögn | Numerical Data'!$B:$B),_xlfn.XMATCH($B$2,'Talnagögn | Numerical Data'!$1:$1))-1</f>
        <v>-6.8371575006296315E-2</v>
      </c>
      <c r="AL488" s="486" cm="1">
        <f t="array" ref="AL488">INDEX('Talnagögn | Numerical Data'!$1:$1048576,_xlfn.XMATCH($B488,'Talnagögn | Numerical Data'!$C:$C),_xlfn.XMATCH($B$5,'Talnagögn | Numerical Data'!$1:$1))-INDEX('Talnagögn | Numerical Data'!$1:$1048576,_xlfn.XMATCH($A488,'Talnagögn | Numerical Data'!$B:$B),_xlfn.XMATCH($B$1,'Talnagögn | Numerical Data'!$1:$1))</f>
        <v>-118.08601066529934</v>
      </c>
      <c r="AM488" s="684" cm="1">
        <f t="array" ref="AM488">INDEX('Talnagögn | Numerical Data'!$1:$1048576,_xlfn.XMATCH($B488,'Talnagögn | Numerical Data'!$C:$C),_xlfn.XMATCH($B$5,'Talnagögn | Numerical Data'!$1:$1))/INDEX('Talnagögn | Numerical Data'!$1:$1048576,_xlfn.XMATCH($A488,'Talnagögn | Numerical Data'!$B:$B),_xlfn.XMATCH($B$1,'Talnagögn | Numerical Data'!$1:$1))-1</f>
        <v>-0.34721463580529399</v>
      </c>
    </row>
    <row r="489" spans="1:45" s="21" customFormat="1" ht="21" customHeight="1" x14ac:dyDescent="0.4">
      <c r="A489" s="27" t="s">
        <v>59</v>
      </c>
      <c r="B489" s="27" t="s">
        <v>262</v>
      </c>
      <c r="C489" s="27" t="s">
        <v>266</v>
      </c>
      <c r="D489" s="131" t="s">
        <v>44</v>
      </c>
      <c r="E489" s="491" t="str">
        <f>'Talnagögn | Numerical Data'!$E$187&amp;" ³"</f>
        <v>Meðhöndlun húsdýraáburðar ³</v>
      </c>
      <c r="F489" s="486" cm="1">
        <f t="array" ref="F489">INDEX('Talnagögn | Numerical Data'!$1:$1048576,_xlfn.XMATCH($A489,'Talnagögn | Numerical Data'!$B:$B),_xlfn.XMATCH($A$1,'Talnagögn | Numerical Data'!$1:$1))</f>
        <v>76.630003384615506</v>
      </c>
      <c r="G489" s="493">
        <f>$F$489/$F$491</f>
        <v>0.11465714217000333</v>
      </c>
      <c r="H489" s="512" cm="1">
        <f t="array" ref="H489">INDEX('Talnagögn | Numerical Data'!$1:$1048576,_xlfn.XMATCH($A489,'Talnagögn | Numerical Data'!$B:$B),_xlfn.XMATCH($A$1,'Talnagögn | Numerical Data'!$1:$1))-INDEX('Talnagögn | Numerical Data'!$1:$1048576,_xlfn.XMATCH($A489,'Talnagögn | Numerical Data'!$B:$B),_xlfn.XMATCH($B$3,'Talnagögn | Numerical Data'!$1:$1))</f>
        <v>-0.82045024995782967</v>
      </c>
      <c r="I489" s="495" cm="1">
        <f t="array" ref="I489">INDEX('Talnagögn | Numerical Data'!$1:$1048576,_xlfn.XMATCH($A489,'Talnagögn | Numerical Data'!$B:$B),_xlfn.XMATCH($A$1,'Talnagögn | Numerical Data'!$1:$1))/INDEX('Talnagögn | Numerical Data'!$1:$1048576,_xlfn.XMATCH($A489,'Talnagögn | Numerical Data'!$B:$B),_xlfn.XMATCH($B$3,'Talnagögn | Numerical Data'!$1:$1))-1</f>
        <v>-1.0593227172417619E-2</v>
      </c>
      <c r="J489" s="487" cm="1">
        <f t="array" ref="J489">INDEX('Talnagögn | Numerical Data'!$1:$1048576,_xlfn.XMATCH($A489,'Talnagögn | Numerical Data'!$B:$B),_xlfn.XMATCH($A$1,'Talnagögn | Numerical Data'!$1:$1))-INDEX('Talnagögn | Numerical Data'!$1:$1048576,_xlfn.XMATCH($A489,'Talnagögn | Numerical Data'!$B:$B),_xlfn.XMATCH($B$2,'Talnagögn | Numerical Data'!$1:$1))</f>
        <v>-5.5434113049244758</v>
      </c>
      <c r="K489" s="495" cm="1">
        <f t="array" ref="K489">INDEX('Talnagögn | Numerical Data'!$1:$1048576,_xlfn.XMATCH($A489,'Talnagögn | Numerical Data'!$B:$B),_xlfn.XMATCH($A$1,'Talnagögn | Numerical Data'!$1:$1))/INDEX('Talnagögn | Numerical Data'!$1:$1048576,_xlfn.XMATCH($A489,'Talnagögn | Numerical Data'!$B:$B),_xlfn.XMATCH($B$2,'Talnagögn | Numerical Data'!$1:$1))-1</f>
        <v>-6.745991177156363E-2</v>
      </c>
      <c r="L489" s="486" cm="1">
        <f t="array" ref="L489">INDEX('Talnagögn | Numerical Data'!$1:$1048576,_xlfn.XMATCH($A489,'Talnagögn | Numerical Data'!$B:$B),_xlfn.XMATCH($A$1,'Talnagögn | Numerical Data'!$1:$1))-INDEX('Talnagögn | Numerical Data'!$1:$1048576,_xlfn.XMATCH($A489,'Talnagögn | Numerical Data'!$B:$B),_xlfn.XMATCH($B$1,'Talnagögn | Numerical Data'!$1:$1))</f>
        <v>-22.412536289811769</v>
      </c>
      <c r="M489" s="480" cm="1">
        <f t="array" ref="M489">INDEX('Talnagögn | Numerical Data'!$1:$1048576,_xlfn.XMATCH($A489,'Talnagögn | Numerical Data'!$B:$B),_xlfn.XMATCH($A$1,'Talnagögn | Numerical Data'!$1:$1))/INDEX('Talnagögn | Numerical Data'!$1:$1048576,_xlfn.XMATCH($A489,'Talnagögn | Numerical Data'!$B:$B),_xlfn.XMATCH($B$1,'Talnagögn | Numerical Data'!$1:$1))-1</f>
        <v>-0.22629201920191344</v>
      </c>
      <c r="O489" s="491" t="str">
        <f>'Talnagögn | Numerical Data'!$E$187</f>
        <v>Meðhöndlun húsdýraáburðar</v>
      </c>
      <c r="P489" s="487" cm="1">
        <f t="array" ref="P489">INDEX('Talnagögn | Numerical Data'!$1:$1048576,_xlfn.XMATCH($B489,'Talnagögn | Numerical Data'!$C:$C),_xlfn.XMATCH($B$4,'Talnagögn | Numerical Data'!$1:$1))-INDEX('Talnagögn | Numerical Data'!$1:$1048576,_xlfn.XMATCH($A489,'Talnagögn | Numerical Data'!$B:$B),_xlfn.XMATCH($B$2,'Talnagögn | Numerical Data'!$1:$1))</f>
        <v>-6.2465325420779436</v>
      </c>
      <c r="Q489" s="495" cm="1">
        <f t="array" ref="Q489">INDEX('Talnagögn | Numerical Data'!$1:$1048576,_xlfn.XMATCH($B489,'Talnagögn | Numerical Data'!$C:$C),_xlfn.XMATCH($B$4,'Talnagögn | Numerical Data'!$1:$1))/INDEX('Talnagögn | Numerical Data'!$1:$1048576,_xlfn.XMATCH($A489,'Talnagögn | Numerical Data'!$B:$B),_xlfn.XMATCH($B$2,'Talnagögn | Numerical Data'!$1:$1))-1</f>
        <v>-7.6016465491643648E-2</v>
      </c>
      <c r="R489" s="486" cm="1">
        <f t="array" ref="R489">INDEX('Talnagögn | Numerical Data'!$1:$1048576,_xlfn.XMATCH($B489,'Talnagögn | Numerical Data'!$C:$C),_xlfn.XMATCH($B$5,'Talnagögn | Numerical Data'!$1:$1))-INDEX('Talnagögn | Numerical Data'!$1:$1048576,_xlfn.XMATCH($A489,'Talnagögn | Numerical Data'!$B:$B),_xlfn.XMATCH($B$1,'Talnagögn | Numerical Data'!$1:$1))</f>
        <v>-33.274582943312865</v>
      </c>
      <c r="S489" s="480" cm="1">
        <f t="array" ref="S489">INDEX('Talnagögn | Numerical Data'!$1:$1048576,_xlfn.XMATCH($B489,'Talnagögn | Numerical Data'!$C:$C),_xlfn.XMATCH($B$5,'Talnagögn | Numerical Data'!$1:$1))/INDEX('Talnagögn | Numerical Data'!$1:$1048576,_xlfn.XMATCH($A489,'Talnagögn | Numerical Data'!$B:$B),_xlfn.XMATCH($B$1,'Talnagögn | Numerical Data'!$1:$1))-1</f>
        <v>-0.33596253743788385</v>
      </c>
      <c r="V489" s="408"/>
      <c r="Y489" s="491" t="str">
        <f>'Talnagögn | Numerical Data'!$G187&amp;" ³"</f>
        <v>Manure Management ³</v>
      </c>
      <c r="Z489" s="486" cm="1">
        <f t="array" ref="Z489">INDEX('Talnagögn | Numerical Data'!$1:$1048576,_xlfn.XMATCH($A489,'Talnagögn | Numerical Data'!$B:$B),_xlfn.XMATCH($A$1,'Talnagögn | Numerical Data'!$1:$1))</f>
        <v>76.630003384615506</v>
      </c>
      <c r="AA489" s="493">
        <f>$F$489/$F$491</f>
        <v>0.11465714217000333</v>
      </c>
      <c r="AB489" s="512" cm="1">
        <f t="array" ref="AB489">INDEX('Talnagögn | Numerical Data'!$1:$1048576,_xlfn.XMATCH($A489,'Talnagögn | Numerical Data'!$B:$B),_xlfn.XMATCH($A$1,'Talnagögn | Numerical Data'!$1:$1))-INDEX('Talnagögn | Numerical Data'!$1:$1048576,_xlfn.XMATCH($A489,'Talnagögn | Numerical Data'!$B:$B),_xlfn.XMATCH($B$3,'Talnagögn | Numerical Data'!$1:$1))</f>
        <v>-0.82045024995782967</v>
      </c>
      <c r="AC489" s="495" cm="1">
        <f t="array" ref="AC489">INDEX('Talnagögn | Numerical Data'!$1:$1048576,_xlfn.XMATCH($A489,'Talnagögn | Numerical Data'!$B:$B),_xlfn.XMATCH($A$1,'Talnagögn | Numerical Data'!$1:$1))/INDEX('Talnagögn | Numerical Data'!$1:$1048576,_xlfn.XMATCH($A489,'Talnagögn | Numerical Data'!$B:$B),_xlfn.XMATCH($B$3,'Talnagögn | Numerical Data'!$1:$1))-1</f>
        <v>-1.0593227172417619E-2</v>
      </c>
      <c r="AD489" s="487" cm="1">
        <f t="array" ref="AD489">INDEX('Talnagögn | Numerical Data'!$1:$1048576,_xlfn.XMATCH($A489,'Talnagögn | Numerical Data'!$B:$B),_xlfn.XMATCH($A$1,'Talnagögn | Numerical Data'!$1:$1))-INDEX('Talnagögn | Numerical Data'!$1:$1048576,_xlfn.XMATCH($A489,'Talnagögn | Numerical Data'!$B:$B),_xlfn.XMATCH($B$2,'Talnagögn | Numerical Data'!$1:$1))</f>
        <v>-5.5434113049244758</v>
      </c>
      <c r="AE489" s="495" cm="1">
        <f t="array" ref="AE489">INDEX('Talnagögn | Numerical Data'!$1:$1048576,_xlfn.XMATCH($A489,'Talnagögn | Numerical Data'!$B:$B),_xlfn.XMATCH($A$1,'Talnagögn | Numerical Data'!$1:$1))/INDEX('Talnagögn | Numerical Data'!$1:$1048576,_xlfn.XMATCH($A489,'Talnagögn | Numerical Data'!$B:$B),_xlfn.XMATCH($B$2,'Talnagögn | Numerical Data'!$1:$1))-1</f>
        <v>-6.745991177156363E-2</v>
      </c>
      <c r="AF489" s="486" cm="1">
        <f t="array" ref="AF489">INDEX('Talnagögn | Numerical Data'!$1:$1048576,_xlfn.XMATCH($A489,'Talnagögn | Numerical Data'!$B:$B),_xlfn.XMATCH($A$1,'Talnagögn | Numerical Data'!$1:$1))-INDEX('Talnagögn | Numerical Data'!$1:$1048576,_xlfn.XMATCH($A489,'Talnagögn | Numerical Data'!$B:$B),_xlfn.XMATCH($B$1,'Talnagögn | Numerical Data'!$1:$1))</f>
        <v>-22.412536289811769</v>
      </c>
      <c r="AG489" s="480" cm="1">
        <f t="array" ref="AG489">INDEX('Talnagögn | Numerical Data'!$1:$1048576,_xlfn.XMATCH($A489,'Talnagögn | Numerical Data'!$B:$B),_xlfn.XMATCH($A$1,'Talnagögn | Numerical Data'!$1:$1))/INDEX('Talnagögn | Numerical Data'!$1:$1048576,_xlfn.XMATCH($A489,'Talnagögn | Numerical Data'!$B:$B),_xlfn.XMATCH($B$1,'Talnagögn | Numerical Data'!$1:$1))-1</f>
        <v>-0.22629201920191344</v>
      </c>
      <c r="AI489" s="491" t="str">
        <f>'Talnagögn | Numerical Data'!$G187</f>
        <v>Manure Management</v>
      </c>
      <c r="AJ489" s="487" cm="1">
        <f t="array" ref="AJ489">INDEX('Talnagögn | Numerical Data'!$1:$1048576,_xlfn.XMATCH($B489,'Talnagögn | Numerical Data'!$C:$C),_xlfn.XMATCH($B$4,'Talnagögn | Numerical Data'!$1:$1))-INDEX('Talnagögn | Numerical Data'!$1:$1048576,_xlfn.XMATCH($A489,'Talnagögn | Numerical Data'!$B:$B),_xlfn.XMATCH($B$2,'Talnagögn | Numerical Data'!$1:$1))</f>
        <v>-6.2465325420779436</v>
      </c>
      <c r="AK489" s="495" cm="1">
        <f t="array" ref="AK489">INDEX('Talnagögn | Numerical Data'!$1:$1048576,_xlfn.XMATCH($B489,'Talnagögn | Numerical Data'!$C:$C),_xlfn.XMATCH($B$4,'Talnagögn | Numerical Data'!$1:$1))/INDEX('Talnagögn | Numerical Data'!$1:$1048576,_xlfn.XMATCH($A489,'Talnagögn | Numerical Data'!$B:$B),_xlfn.XMATCH($B$2,'Talnagögn | Numerical Data'!$1:$1))-1</f>
        <v>-7.6016465491643648E-2</v>
      </c>
      <c r="AL489" s="486" cm="1">
        <f t="array" ref="AL489">INDEX('Talnagögn | Numerical Data'!$1:$1048576,_xlfn.XMATCH($B489,'Talnagögn | Numerical Data'!$C:$C),_xlfn.XMATCH($B$5,'Talnagögn | Numerical Data'!$1:$1))-INDEX('Talnagögn | Numerical Data'!$1:$1048576,_xlfn.XMATCH($A489,'Talnagögn | Numerical Data'!$B:$B),_xlfn.XMATCH($B$1,'Talnagögn | Numerical Data'!$1:$1))</f>
        <v>-33.274582943312865</v>
      </c>
      <c r="AM489" s="480" cm="1">
        <f t="array" ref="AM489">INDEX('Talnagögn | Numerical Data'!$1:$1048576,_xlfn.XMATCH($B489,'Talnagögn | Numerical Data'!$C:$C),_xlfn.XMATCH($B$5,'Talnagögn | Numerical Data'!$1:$1))/INDEX('Talnagögn | Numerical Data'!$1:$1048576,_xlfn.XMATCH($A489,'Talnagögn | Numerical Data'!$B:$B),_xlfn.XMATCH($B$1,'Talnagögn | Numerical Data'!$1:$1))-1</f>
        <v>-0.33596253743788385</v>
      </c>
    </row>
    <row r="490" spans="1:45" s="21" customFormat="1" ht="21" customHeight="1" x14ac:dyDescent="0.4">
      <c r="A490" s="130" t="s">
        <v>90</v>
      </c>
      <c r="B490" s="27" t="s">
        <v>264</v>
      </c>
      <c r="C490" s="27" t="s">
        <v>268</v>
      </c>
      <c r="D490" s="131" t="s">
        <v>44</v>
      </c>
      <c r="E490" s="491" t="str">
        <f>'Talnagögn | Numerical Data'!$E$189&amp;" ⁴"</f>
        <v>Kölkun og CO₂-losun frá áburði ⁴</v>
      </c>
      <c r="F490" s="487" cm="1">
        <f t="array" ref="F490">INDEX('Talnagögn | Numerical Data'!$1:$1048576,_xlfn.XMATCH($A490,'Talnagögn | Numerical Data'!$B:$B),_xlfn.XMATCH($A$1,'Talnagögn | Numerical Data'!$1:$1))</f>
        <v>7.4662023749915436</v>
      </c>
      <c r="G490" s="495">
        <f>$F$490/$F$491</f>
        <v>1.1171256549249822E-2</v>
      </c>
      <c r="H490" s="487" cm="1">
        <f t="array" ref="H490">INDEX('Talnagögn | Numerical Data'!$1:$1048576,_xlfn.XMATCH($A490,'Talnagögn | Numerical Data'!$B:$B),_xlfn.XMATCH($A$1,'Talnagögn | Numerical Data'!$1:$1))-INDEX('Talnagögn | Numerical Data'!$1:$1048576,_xlfn.XMATCH($A490,'Talnagögn | Numerical Data'!$B:$B),_xlfn.XMATCH($B$3,'Talnagögn | Numerical Data'!$1:$1))</f>
        <v>1.7911080000000004</v>
      </c>
      <c r="I490" s="493" cm="1">
        <f t="array" ref="I490">INDEX('Talnagögn | Numerical Data'!$1:$1048576,_xlfn.XMATCH($A490,'Talnagögn | Numerical Data'!$B:$B),_xlfn.XMATCH($A$1,'Talnagögn | Numerical Data'!$1:$1))/INDEX('Talnagögn | Numerical Data'!$1:$1048576,_xlfn.XMATCH($A490,'Talnagögn | Numerical Data'!$B:$B),_xlfn.XMATCH($B$3,'Talnagögn | Numerical Data'!$1:$1))-1</f>
        <v>0.3156084959384784</v>
      </c>
      <c r="J490" s="487" cm="1">
        <f t="array" ref="J490">INDEX('Talnagögn | Numerical Data'!$1:$1048576,_xlfn.XMATCH($A490,'Talnagögn | Numerical Data'!$B:$B),_xlfn.XMATCH($A$1,'Talnagögn | Numerical Data'!$1:$1))-INDEX('Talnagögn | Numerical Data'!$1:$1048576,_xlfn.XMATCH($A490,'Talnagögn | Numerical Data'!$B:$B),_xlfn.XMATCH($B$2,'Talnagögn | Numerical Data'!$1:$1))</f>
        <v>2.9335497191890747</v>
      </c>
      <c r="K490" s="493" cm="1">
        <f t="array" ref="K490">INDEX('Talnagögn | Numerical Data'!$1:$1048576,_xlfn.XMATCH($A490,'Talnagögn | Numerical Data'!$B:$B),_xlfn.XMATCH($A$1,'Talnagögn | Numerical Data'!$1:$1))/INDEX('Talnagögn | Numerical Data'!$1:$1048576,_xlfn.XMATCH($A490,'Talnagögn | Numerical Data'!$B:$B),_xlfn.XMATCH($B$2,'Talnagögn | Numerical Data'!$1:$1))-1</f>
        <v>0.64720373299147349</v>
      </c>
      <c r="L490" s="487" cm="1">
        <f t="array" ref="L490">INDEX('Talnagögn | Numerical Data'!$1:$1048576,_xlfn.XMATCH($A490,'Talnagögn | Numerical Data'!$B:$B),_xlfn.XMATCH($A$1,'Talnagögn | Numerical Data'!$1:$1))-INDEX('Talnagögn | Numerical Data'!$1:$1048576,_xlfn.XMATCH($A490,'Talnagögn | Numerical Data'!$B:$B),_xlfn.XMATCH($B$1,'Talnagögn | Numerical Data'!$1:$1))</f>
        <v>7.4431023749915433</v>
      </c>
      <c r="M490" s="480" cm="1">
        <f t="array" ref="M490">INDEX('Talnagögn | Numerical Data'!$1:$1048576,_xlfn.XMATCH($A490,'Talnagögn | Numerical Data'!$B:$B),_xlfn.XMATCH($A$1,'Talnagögn | Numerical Data'!$1:$1))/INDEX('Talnagögn | Numerical Data'!$1:$1048576,_xlfn.XMATCH($A490,'Talnagögn | Numerical Data'!$B:$B),_xlfn.XMATCH($B$1,'Talnagögn | Numerical Data'!$1:$1))-1</f>
        <v>322.21222402560795</v>
      </c>
      <c r="O490" s="506" t="str">
        <f>'Talnagögn | Numerical Data'!$E$189</f>
        <v>Kölkun og CO₂-losun frá áburði</v>
      </c>
      <c r="P490" s="507" cm="1">
        <f t="array" ref="P490">INDEX('Talnagögn | Numerical Data'!$1:$1048576,_xlfn.XMATCH($B490,'Talnagögn | Numerical Data'!$C:$C),_xlfn.XMATCH($B$4,'Talnagögn | Numerical Data'!$1:$1))-INDEX('Talnagögn | Numerical Data'!$1:$1048576,_xlfn.XMATCH($A490,'Talnagögn | Numerical Data'!$B:$B),_xlfn.XMATCH($B$2,'Talnagögn | Numerical Data'!$1:$1))</f>
        <v>1.6746186109599321</v>
      </c>
      <c r="Q490" s="509" cm="1">
        <f t="array" ref="Q490">INDEX('Talnagögn | Numerical Data'!$1:$1048576,_xlfn.XMATCH($B490,'Talnagögn | Numerical Data'!$C:$C),_xlfn.XMATCH($B$4,'Talnagögn | Numerical Data'!$1:$1))/INDEX('Talnagögn | Numerical Data'!$1:$1048576,_xlfn.XMATCH($A490,'Talnagögn | Numerical Data'!$B:$B),_xlfn.XMATCH($B$2,'Talnagögn | Numerical Data'!$1:$1))-1</f>
        <v>0.36945663789528882</v>
      </c>
      <c r="R490" s="507" cm="1">
        <f t="array" ref="R490">INDEX('Talnagögn | Numerical Data'!$1:$1048576,_xlfn.XMATCH($B490,'Talnagögn | Numerical Data'!$C:$C),_xlfn.XMATCH($B$5,'Talnagögn | Numerical Data'!$1:$1))-INDEX('Talnagögn | Numerical Data'!$1:$1048576,_xlfn.XMATCH($A490,'Talnagögn | Numerical Data'!$B:$B),_xlfn.XMATCH($B$1,'Talnagögn | Numerical Data'!$1:$1))</f>
        <v>7.9067817674867271</v>
      </c>
      <c r="S490" s="510" cm="1">
        <f t="array" ref="S490">INDEX('Talnagögn | Numerical Data'!$1:$1048576,_xlfn.XMATCH($B490,'Talnagögn | Numerical Data'!$C:$C),_xlfn.XMATCH($B$5,'Talnagögn | Numerical Data'!$1:$1))/INDEX('Talnagögn | Numerical Data'!$1:$1048576,_xlfn.XMATCH($A490,'Talnagögn | Numerical Data'!$B:$B),_xlfn.XMATCH($B$1,'Talnagögn | Numerical Data'!$1:$1))-1</f>
        <v>342.28492499942547</v>
      </c>
      <c r="V490" s="408"/>
      <c r="Y490" s="491" t="str">
        <f>'Talnagögn | Numerical Data'!$G189&amp;" ⁴"</f>
        <v>Liming and CO₂-Emissions from Fertilizers ⁴</v>
      </c>
      <c r="Z490" s="487" cm="1">
        <f t="array" ref="Z490">INDEX('Talnagögn | Numerical Data'!$1:$1048576,_xlfn.XMATCH($A490,'Talnagögn | Numerical Data'!$B:$B),_xlfn.XMATCH($A$1,'Talnagögn | Numerical Data'!$1:$1))</f>
        <v>7.4662023749915436</v>
      </c>
      <c r="AA490" s="495">
        <f>$F$490/$F$491</f>
        <v>1.1171256549249822E-2</v>
      </c>
      <c r="AB490" s="487" cm="1">
        <f t="array" ref="AB490">INDEX('Talnagögn | Numerical Data'!$1:$1048576,_xlfn.XMATCH($A490,'Talnagögn | Numerical Data'!$B:$B),_xlfn.XMATCH($A$1,'Talnagögn | Numerical Data'!$1:$1))-INDEX('Talnagögn | Numerical Data'!$1:$1048576,_xlfn.XMATCH($A490,'Talnagögn | Numerical Data'!$B:$B),_xlfn.XMATCH($B$3,'Talnagögn | Numerical Data'!$1:$1))</f>
        <v>1.7911080000000004</v>
      </c>
      <c r="AC490" s="493" cm="1">
        <f t="array" ref="AC490">INDEX('Talnagögn | Numerical Data'!$1:$1048576,_xlfn.XMATCH($A490,'Talnagögn | Numerical Data'!$B:$B),_xlfn.XMATCH($A$1,'Talnagögn | Numerical Data'!$1:$1))/INDEX('Talnagögn | Numerical Data'!$1:$1048576,_xlfn.XMATCH($A490,'Talnagögn | Numerical Data'!$B:$B),_xlfn.XMATCH($B$3,'Talnagögn | Numerical Data'!$1:$1))-1</f>
        <v>0.3156084959384784</v>
      </c>
      <c r="AD490" s="487" cm="1">
        <f t="array" ref="AD490">INDEX('Talnagögn | Numerical Data'!$1:$1048576,_xlfn.XMATCH($A490,'Talnagögn | Numerical Data'!$B:$B),_xlfn.XMATCH($A$1,'Talnagögn | Numerical Data'!$1:$1))-INDEX('Talnagögn | Numerical Data'!$1:$1048576,_xlfn.XMATCH($A490,'Talnagögn | Numerical Data'!$B:$B),_xlfn.XMATCH($B$2,'Talnagögn | Numerical Data'!$1:$1))</f>
        <v>2.9335497191890747</v>
      </c>
      <c r="AE490" s="493" cm="1">
        <f t="array" ref="AE490">INDEX('Talnagögn | Numerical Data'!$1:$1048576,_xlfn.XMATCH($A490,'Talnagögn | Numerical Data'!$B:$B),_xlfn.XMATCH($A$1,'Talnagögn | Numerical Data'!$1:$1))/INDEX('Talnagögn | Numerical Data'!$1:$1048576,_xlfn.XMATCH($A490,'Talnagögn | Numerical Data'!$B:$B),_xlfn.XMATCH($B$2,'Talnagögn | Numerical Data'!$1:$1))-1</f>
        <v>0.64720373299147349</v>
      </c>
      <c r="AF490" s="487" cm="1">
        <f t="array" ref="AF490">INDEX('Talnagögn | Numerical Data'!$1:$1048576,_xlfn.XMATCH($A490,'Talnagögn | Numerical Data'!$B:$B),_xlfn.XMATCH($A$1,'Talnagögn | Numerical Data'!$1:$1))-INDEX('Talnagögn | Numerical Data'!$1:$1048576,_xlfn.XMATCH($A490,'Talnagögn | Numerical Data'!$B:$B),_xlfn.XMATCH($B$1,'Talnagögn | Numerical Data'!$1:$1))</f>
        <v>7.4431023749915433</v>
      </c>
      <c r="AG490" s="480" cm="1">
        <f t="array" ref="AG490">INDEX('Talnagögn | Numerical Data'!$1:$1048576,_xlfn.XMATCH($A490,'Talnagögn | Numerical Data'!$B:$B),_xlfn.XMATCH($A$1,'Talnagögn | Numerical Data'!$1:$1))/INDEX('Talnagögn | Numerical Data'!$1:$1048576,_xlfn.XMATCH($A490,'Talnagögn | Numerical Data'!$B:$B),_xlfn.XMATCH($B$1,'Talnagögn | Numerical Data'!$1:$1))-1</f>
        <v>322.21222402560795</v>
      </c>
      <c r="AI490" s="491" t="str">
        <f>'Talnagögn | Numerical Data'!$G189</f>
        <v>Liming and CO₂-Emissions from Fertilizers</v>
      </c>
      <c r="AJ490" s="507" cm="1">
        <f t="array" ref="AJ490">INDEX('Talnagögn | Numerical Data'!$1:$1048576,_xlfn.XMATCH($B490,'Talnagögn | Numerical Data'!$C:$C),_xlfn.XMATCH($B$4,'Talnagögn | Numerical Data'!$1:$1))-INDEX('Talnagögn | Numerical Data'!$1:$1048576,_xlfn.XMATCH($A490,'Talnagögn | Numerical Data'!$B:$B),_xlfn.XMATCH($B$2,'Talnagögn | Numerical Data'!$1:$1))</f>
        <v>1.6746186109599321</v>
      </c>
      <c r="AK490" s="509" cm="1">
        <f t="array" ref="AK490">INDEX('Talnagögn | Numerical Data'!$1:$1048576,_xlfn.XMATCH($B490,'Talnagögn | Numerical Data'!$C:$C),_xlfn.XMATCH($B$4,'Talnagögn | Numerical Data'!$1:$1))/INDEX('Talnagögn | Numerical Data'!$1:$1048576,_xlfn.XMATCH($A490,'Talnagögn | Numerical Data'!$B:$B),_xlfn.XMATCH($B$2,'Talnagögn | Numerical Data'!$1:$1))-1</f>
        <v>0.36945663789528882</v>
      </c>
      <c r="AL490" s="507" cm="1">
        <f t="array" ref="AL490">INDEX('Talnagögn | Numerical Data'!$1:$1048576,_xlfn.XMATCH($B490,'Talnagögn | Numerical Data'!$C:$C),_xlfn.XMATCH($B$5,'Talnagögn | Numerical Data'!$1:$1))-INDEX('Talnagögn | Numerical Data'!$1:$1048576,_xlfn.XMATCH($A490,'Talnagögn | Numerical Data'!$B:$B),_xlfn.XMATCH($B$1,'Talnagögn | Numerical Data'!$1:$1))</f>
        <v>7.9067817674867271</v>
      </c>
      <c r="AM490" s="510" cm="1">
        <f t="array" ref="AM490">INDEX('Talnagögn | Numerical Data'!$1:$1048576,_xlfn.XMATCH($B490,'Talnagögn | Numerical Data'!$C:$C),_xlfn.XMATCH($B$5,'Talnagögn | Numerical Data'!$1:$1))/INDEX('Talnagögn | Numerical Data'!$1:$1048576,_xlfn.XMATCH($A490,'Talnagögn | Numerical Data'!$B:$B),_xlfn.XMATCH($B$1,'Talnagögn | Numerical Data'!$1:$1))-1</f>
        <v>342.28492499942547</v>
      </c>
    </row>
    <row r="491" spans="1:45" ht="28.5" customHeight="1" x14ac:dyDescent="0.4">
      <c r="A491" s="27" t="s">
        <v>40</v>
      </c>
      <c r="B491" s="27" t="s">
        <v>223</v>
      </c>
      <c r="C491" s="27" t="s">
        <v>230</v>
      </c>
      <c r="D491" s="131" t="s">
        <v>44</v>
      </c>
      <c r="E491" s="504" t="s">
        <v>12</v>
      </c>
      <c r="F491" s="500" cm="1">
        <f t="array" ref="F491">INDEX('Talnagögn | Numerical Data'!$1:$1048576,_xlfn.XMATCH($A491,'Talnagögn | Numerical Data'!$B:$B),_xlfn.XMATCH($A$1,'Talnagögn | Numerical Data'!$1:$1))</f>
        <v>668.34042724521601</v>
      </c>
      <c r="G491" s="501">
        <f>SUM($G$487:$G$490)</f>
        <v>1</v>
      </c>
      <c r="H491" s="918" cm="1">
        <f t="array" ref="H491">INDEX('Talnagögn | Numerical Data'!$1:$1048576,_xlfn.XMATCH($A491,'Talnagögn | Numerical Data'!$B:$B),_xlfn.XMATCH($A$1,'Talnagögn | Numerical Data'!$1:$1))-INDEX('Talnagögn | Numerical Data'!$1:$1048576,_xlfn.XMATCH($A491,'Talnagögn | Numerical Data'!$B:$B),_xlfn.XMATCH($B$3,'Talnagögn | Numerical Data'!$1:$1))</f>
        <v>-0.41798729362869835</v>
      </c>
      <c r="I491" s="919" cm="1">
        <f t="array" ref="I491">INDEX('Talnagögn | Numerical Data'!$1:$1048576,_xlfn.XMATCH($A491,'Talnagögn | Numerical Data'!$B:$B),_xlfn.XMATCH($A$1,'Talnagögn | Numerical Data'!$1:$1))/INDEX('Talnagögn | Numerical Data'!$1:$1048576,_xlfn.XMATCH($A491,'Talnagögn | Numerical Data'!$B:$B),_xlfn.XMATCH($B$3,'Talnagögn | Numerical Data'!$1:$1))-1</f>
        <v>-6.2501986448559865E-4</v>
      </c>
      <c r="J491" s="500" cm="1">
        <f t="array" ref="J491">INDEX('Talnagögn | Numerical Data'!$1:$1048576,_xlfn.XMATCH($A491,'Talnagögn | Numerical Data'!$B:$B),_xlfn.XMATCH($A$1,'Talnagögn | Numerical Data'!$1:$1))-INDEX('Talnagögn | Numerical Data'!$1:$1048576,_xlfn.XMATCH($A491,'Talnagögn | Numerical Data'!$B:$B),_xlfn.XMATCH($B$2,'Talnagögn | Numerical Data'!$1:$1))</f>
        <v>-17.944766173767107</v>
      </c>
      <c r="K491" s="502" cm="1">
        <f t="array" ref="K491">INDEX('Talnagögn | Numerical Data'!$1:$1048576,_xlfn.XMATCH($A491,'Talnagögn | Numerical Data'!$B:$B),_xlfn.XMATCH($A$1,'Talnagögn | Numerical Data'!$1:$1))/INDEX('Talnagögn | Numerical Data'!$1:$1048576,_xlfn.XMATCH($A491,'Talnagögn | Numerical Data'!$B:$B),_xlfn.XMATCH($B$2,'Talnagögn | Numerical Data'!$1:$1))-1</f>
        <v>-2.6147680797787065E-2</v>
      </c>
      <c r="L491" s="500" cm="1">
        <f t="array" ref="L491">INDEX('Talnagögn | Numerical Data'!$1:$1048576,_xlfn.XMATCH($A491,'Talnagögn | Numerical Data'!$B:$B),_xlfn.XMATCH($A$1,'Talnagögn | Numerical Data'!$1:$1))-INDEX('Talnagögn | Numerical Data'!$1:$1048576,_xlfn.XMATCH($A491,'Talnagögn | Numerical Data'!$B:$B),_xlfn.XMATCH($B$1,'Talnagögn | Numerical Data'!$1:$1))</f>
        <v>-53.430400731629675</v>
      </c>
      <c r="M491" s="503" cm="1">
        <f t="array" ref="M491">INDEX('Talnagögn | Numerical Data'!$1:$1048576,_xlfn.XMATCH($A491,'Talnagögn | Numerical Data'!$B:$B),_xlfn.XMATCH($A$1,'Talnagögn | Numerical Data'!$1:$1))/INDEX('Talnagögn | Numerical Data'!$1:$1048576,_xlfn.XMATCH($A491,'Talnagögn | Numerical Data'!$B:$B),_xlfn.XMATCH($B$1,'Talnagögn | Numerical Data'!$1:$1))-1</f>
        <v>-7.4026822172070017E-2</v>
      </c>
      <c r="N491" s="5"/>
      <c r="O491" s="505" t="s">
        <v>12</v>
      </c>
      <c r="P491" s="498" cm="1">
        <f t="array" ref="P491">INDEX('Talnagögn | Numerical Data'!$1:$1048576,_xlfn.XMATCH($B491,'Talnagögn | Numerical Data'!$C:$C),_xlfn.XMATCH($B$4,'Talnagögn | Numerical Data'!$1:$1))-INDEX('Talnagögn | Numerical Data'!$1:$1048576,_xlfn.XMATCH($A491,'Talnagögn | Numerical Data'!$B:$B),_xlfn.XMATCH($B$2,'Talnagögn | Numerical Data'!$1:$1))</f>
        <v>-35.971427832382574</v>
      </c>
      <c r="Q491" s="499" cm="1">
        <f t="array" ref="Q491">INDEX('Talnagögn | Numerical Data'!$1:$1048576,_xlfn.XMATCH($B491,'Talnagögn | Numerical Data'!$C:$C),_xlfn.XMATCH($B$4,'Talnagögn | Numerical Data'!$1:$1))/INDEX('Talnagögn | Numerical Data'!$1:$1048576,_xlfn.XMATCH($A491,'Talnagögn | Numerical Data'!$B:$B),_xlfn.XMATCH($B$2,'Talnagögn | Numerical Data'!$1:$1))-1</f>
        <v>-5.2414693158652659E-2</v>
      </c>
      <c r="R491" s="498" cm="1">
        <f t="array" ref="R491">INDEX('Talnagögn | Numerical Data'!$1:$1048576,_xlfn.XMATCH($B491,'Talnagögn | Numerical Data'!$C:$C),_xlfn.XMATCH($B$5,'Talnagögn | Numerical Data'!$1:$1))-INDEX('Talnagögn | Numerical Data'!$1:$1048576,_xlfn.XMATCH($A491,'Talnagögn | Numerical Data'!$B:$B),_xlfn.XMATCH($B$1,'Talnagögn | Numerical Data'!$1:$1))</f>
        <v>-133.90036890007912</v>
      </c>
      <c r="S491" s="511" cm="1">
        <f t="array" ref="S491">INDEX('Talnagögn | Numerical Data'!$1:$1048576,_xlfn.XMATCH($B491,'Talnagögn | Numerical Data'!$C:$C),_xlfn.XMATCH($B$5,'Talnagögn | Numerical Data'!$1:$1))/INDEX('Talnagögn | Numerical Data'!$1:$1048576,_xlfn.XMATCH($A491,'Talnagögn | Numerical Data'!$B:$B),_xlfn.XMATCH($B$1,'Talnagögn | Numerical Data'!$1:$1))-1</f>
        <v>-0.18551645994810784</v>
      </c>
      <c r="V491" s="162"/>
      <c r="Y491" s="504" t="s">
        <v>145</v>
      </c>
      <c r="Z491" s="500" cm="1">
        <f t="array" ref="Z491">INDEX('Talnagögn | Numerical Data'!$1:$1048576,_xlfn.XMATCH($A491,'Talnagögn | Numerical Data'!$B:$B),_xlfn.XMATCH($A$1,'Talnagögn | Numerical Data'!$1:$1))</f>
        <v>668.34042724521601</v>
      </c>
      <c r="AA491" s="501">
        <f>SUM($G$487:$G$490)</f>
        <v>1</v>
      </c>
      <c r="AB491" s="918" cm="1">
        <f t="array" ref="AB491">INDEX('Talnagögn | Numerical Data'!$1:$1048576,_xlfn.XMATCH($A491,'Talnagögn | Numerical Data'!$B:$B),_xlfn.XMATCH($A$1,'Talnagögn | Numerical Data'!$1:$1))-INDEX('Talnagögn | Numerical Data'!$1:$1048576,_xlfn.XMATCH($A491,'Talnagögn | Numerical Data'!$B:$B),_xlfn.XMATCH($B$3,'Talnagögn | Numerical Data'!$1:$1))</f>
        <v>-0.41798729362869835</v>
      </c>
      <c r="AC491" s="919" cm="1">
        <f t="array" ref="AC491">INDEX('Talnagögn | Numerical Data'!$1:$1048576,_xlfn.XMATCH($A491,'Talnagögn | Numerical Data'!$B:$B),_xlfn.XMATCH($A$1,'Talnagögn | Numerical Data'!$1:$1))/INDEX('Talnagögn | Numerical Data'!$1:$1048576,_xlfn.XMATCH($A491,'Talnagögn | Numerical Data'!$B:$B),_xlfn.XMATCH($B$3,'Talnagögn | Numerical Data'!$1:$1))-1</f>
        <v>-6.2501986448559865E-4</v>
      </c>
      <c r="AD491" s="500" cm="1">
        <f t="array" ref="AD491">INDEX('Talnagögn | Numerical Data'!$1:$1048576,_xlfn.XMATCH($A491,'Talnagögn | Numerical Data'!$B:$B),_xlfn.XMATCH($A$1,'Talnagögn | Numerical Data'!$1:$1))-INDEX('Talnagögn | Numerical Data'!$1:$1048576,_xlfn.XMATCH($A491,'Talnagögn | Numerical Data'!$B:$B),_xlfn.XMATCH($B$2,'Talnagögn | Numerical Data'!$1:$1))</f>
        <v>-17.944766173767107</v>
      </c>
      <c r="AE491" s="502" cm="1">
        <f t="array" ref="AE491">INDEX('Talnagögn | Numerical Data'!$1:$1048576,_xlfn.XMATCH($A491,'Talnagögn | Numerical Data'!$B:$B),_xlfn.XMATCH($A$1,'Talnagögn | Numerical Data'!$1:$1))/INDEX('Talnagögn | Numerical Data'!$1:$1048576,_xlfn.XMATCH($A491,'Talnagögn | Numerical Data'!$B:$B),_xlfn.XMATCH($B$2,'Talnagögn | Numerical Data'!$1:$1))-1</f>
        <v>-2.6147680797787065E-2</v>
      </c>
      <c r="AF491" s="500" cm="1">
        <f t="array" ref="AF491">INDEX('Talnagögn | Numerical Data'!$1:$1048576,_xlfn.XMATCH($A491,'Talnagögn | Numerical Data'!$B:$B),_xlfn.XMATCH($A$1,'Talnagögn | Numerical Data'!$1:$1))-INDEX('Talnagögn | Numerical Data'!$1:$1048576,_xlfn.XMATCH($A491,'Talnagögn | Numerical Data'!$B:$B),_xlfn.XMATCH($B$1,'Talnagögn | Numerical Data'!$1:$1))</f>
        <v>-53.430400731629675</v>
      </c>
      <c r="AG491" s="503" cm="1">
        <f t="array" ref="AG491">INDEX('Talnagögn | Numerical Data'!$1:$1048576,_xlfn.XMATCH($A491,'Talnagögn | Numerical Data'!$B:$B),_xlfn.XMATCH($A$1,'Talnagögn | Numerical Data'!$1:$1))/INDEX('Talnagögn | Numerical Data'!$1:$1048576,_xlfn.XMATCH($A491,'Talnagögn | Numerical Data'!$B:$B),_xlfn.XMATCH($B$1,'Talnagögn | Numerical Data'!$1:$1))-1</f>
        <v>-7.4026822172070017E-2</v>
      </c>
      <c r="AH491" s="5"/>
      <c r="AI491" s="505" t="s">
        <v>12</v>
      </c>
      <c r="AJ491" s="498" cm="1">
        <f t="array" ref="AJ491">INDEX('Talnagögn | Numerical Data'!$1:$1048576,_xlfn.XMATCH($B491,'Talnagögn | Numerical Data'!$C:$C),_xlfn.XMATCH($B$4,'Talnagögn | Numerical Data'!$1:$1))-INDEX('Talnagögn | Numerical Data'!$1:$1048576,_xlfn.XMATCH($A491,'Talnagögn | Numerical Data'!$B:$B),_xlfn.XMATCH($B$2,'Talnagögn | Numerical Data'!$1:$1))</f>
        <v>-35.971427832382574</v>
      </c>
      <c r="AK491" s="499" cm="1">
        <f t="array" ref="AK491">INDEX('Talnagögn | Numerical Data'!$1:$1048576,_xlfn.XMATCH($B491,'Talnagögn | Numerical Data'!$C:$C),_xlfn.XMATCH($B$4,'Talnagögn | Numerical Data'!$1:$1))/INDEX('Talnagögn | Numerical Data'!$1:$1048576,_xlfn.XMATCH($A491,'Talnagögn | Numerical Data'!$B:$B),_xlfn.XMATCH($B$2,'Talnagögn | Numerical Data'!$1:$1))-1</f>
        <v>-5.2414693158652659E-2</v>
      </c>
      <c r="AL491" s="498" cm="1">
        <f t="array" ref="AL491">INDEX('Talnagögn | Numerical Data'!$1:$1048576,_xlfn.XMATCH($B491,'Talnagögn | Numerical Data'!$C:$C),_xlfn.XMATCH($B$5,'Talnagögn | Numerical Data'!$1:$1))-INDEX('Talnagögn | Numerical Data'!$1:$1048576,_xlfn.XMATCH($A491,'Talnagögn | Numerical Data'!$B:$B),_xlfn.XMATCH($B$1,'Talnagögn | Numerical Data'!$1:$1))</f>
        <v>-133.90036890007912</v>
      </c>
      <c r="AM491" s="511" cm="1">
        <f t="array" ref="AM491">INDEX('Talnagögn | Numerical Data'!$1:$1048576,_xlfn.XMATCH($B491,'Talnagögn | Numerical Data'!$C:$C),_xlfn.XMATCH($B$5,'Talnagögn | Numerical Data'!$1:$1))/INDEX('Talnagögn | Numerical Data'!$1:$1048576,_xlfn.XMATCH($A491,'Talnagögn | Numerical Data'!$B:$B),_xlfn.XMATCH($B$1,'Talnagögn | Numerical Data'!$1:$1))-1</f>
        <v>-0.18551645994810784</v>
      </c>
      <c r="AN491" s="5"/>
      <c r="AO491" s="5"/>
      <c r="AP491" s="5"/>
      <c r="AQ491" s="5"/>
      <c r="AR491" s="5"/>
      <c r="AS491" s="5"/>
    </row>
    <row r="492" spans="1:45" s="21" customFormat="1" x14ac:dyDescent="0.4">
      <c r="A492" s="27"/>
      <c r="B492" s="648"/>
      <c r="C492" s="645"/>
      <c r="D492" s="131" t="s">
        <v>44</v>
      </c>
      <c r="E492" s="906" t="str">
        <f>"¹ "&amp;'Talnagögn | Numerical Data'!$F$188</f>
        <v>¹ Þessi flokkur nær yfir alla hláturgaslosun, beina og óbeina sem á sér stað vegna notkunar tilbúins og lífræns áburðar, vegna þvags og saurs frá dýrum á beit, vegna rotnunar plöntuleifa og vegna framræslu lands.</v>
      </c>
      <c r="F492" s="482"/>
      <c r="G492" s="482"/>
      <c r="H492" s="482"/>
      <c r="I492" s="482"/>
      <c r="J492" s="482"/>
      <c r="K492" s="482"/>
      <c r="L492" s="482"/>
      <c r="M492" s="482"/>
      <c r="N492" s="482"/>
      <c r="O492" s="482"/>
      <c r="P492" s="482"/>
      <c r="Q492" s="482"/>
      <c r="R492" s="482"/>
      <c r="S492" s="484"/>
      <c r="T492" s="484"/>
      <c r="U492" s="484"/>
      <c r="V492" s="410"/>
      <c r="Y492" s="906" t="str">
        <f>"¹ "&amp;'Talnagögn | Numerical Data'!$H$188</f>
        <v>¹ This category includes all direct and indirect emissions of nitrous oxide that occur from the use of synthetic and organic fertilizers, from urine and dung from grazing animals, from the decay of plant residues, and from drained cropland and grassland.</v>
      </c>
      <c r="Z492" s="482"/>
      <c r="AA492" s="482"/>
      <c r="AB492" s="482"/>
      <c r="AC492" s="482"/>
      <c r="AD492" s="482"/>
      <c r="AE492" s="482"/>
      <c r="AF492" s="482"/>
      <c r="AG492" s="482"/>
      <c r="AH492" s="482"/>
      <c r="AI492" s="482"/>
      <c r="AJ492" s="482"/>
      <c r="AK492" s="482"/>
      <c r="AL492" s="482"/>
      <c r="AM492" s="484"/>
      <c r="AN492" s="484"/>
      <c r="AO492" s="484"/>
      <c r="AP492" s="484"/>
      <c r="AQ492" s="484"/>
      <c r="AR492" s="484"/>
      <c r="AS492" s="484"/>
    </row>
    <row r="493" spans="1:45" s="21" customFormat="1" x14ac:dyDescent="0.4">
      <c r="A493" s="27"/>
      <c r="B493" s="648"/>
      <c r="C493" s="645"/>
      <c r="D493" s="131"/>
      <c r="E493" s="479" t="str">
        <f>"² "&amp;'Talnagögn | Numerical Data'!$F$186</f>
        <v>² Losun vegna iðragerjunar allra húsdýraflokka</v>
      </c>
      <c r="F493" s="482"/>
      <c r="G493" s="482"/>
      <c r="H493" s="482"/>
      <c r="I493" s="482"/>
      <c r="J493" s="482"/>
      <c r="K493" s="482"/>
      <c r="L493" s="482"/>
      <c r="M493" s="482"/>
      <c r="N493" s="482"/>
      <c r="O493" s="482"/>
      <c r="P493" s="482"/>
      <c r="Q493" s="482"/>
      <c r="R493" s="482"/>
      <c r="S493" s="484"/>
      <c r="T493" s="484"/>
      <c r="U493" s="484"/>
      <c r="V493" s="410"/>
      <c r="Y493" s="479" t="str">
        <f>"² "&amp;'Talnagögn | Numerical Data'!$H$186</f>
        <v>² Emissions from enteric fermentation of all livestock categories</v>
      </c>
      <c r="Z493" s="482"/>
      <c r="AA493" s="482"/>
      <c r="AB493" s="482"/>
      <c r="AC493" s="482"/>
      <c r="AD493" s="482"/>
      <c r="AE493" s="482"/>
      <c r="AF493" s="482"/>
      <c r="AG493" s="482"/>
      <c r="AH493" s="482"/>
      <c r="AI493" s="482"/>
      <c r="AJ493" s="482"/>
      <c r="AK493" s="482"/>
      <c r="AL493" s="482"/>
      <c r="AM493" s="484"/>
      <c r="AN493" s="484"/>
      <c r="AO493" s="484"/>
      <c r="AP493" s="484"/>
      <c r="AQ493" s="484"/>
      <c r="AR493" s="484"/>
      <c r="AS493" s="484"/>
    </row>
    <row r="494" spans="1:45" s="21" customFormat="1" x14ac:dyDescent="0.4">
      <c r="A494" s="27"/>
      <c r="B494" s="648"/>
      <c r="C494" s="645"/>
      <c r="D494" s="131"/>
      <c r="E494" s="479" t="str">
        <f>"³ "&amp;'Talnagögn | Numerical Data'!$F$187</f>
        <v>³ Losun vegna meðhöndlunar húsdýraáburðar frá öllum húsdýraflokkum</v>
      </c>
      <c r="F494" s="482"/>
      <c r="G494" s="482"/>
      <c r="H494" s="482"/>
      <c r="I494" s="482"/>
      <c r="J494" s="482"/>
      <c r="K494" s="482"/>
      <c r="L494" s="482"/>
      <c r="M494" s="482"/>
      <c r="N494" s="482"/>
      <c r="O494" s="482"/>
      <c r="P494" s="482"/>
      <c r="Q494" s="482"/>
      <c r="R494" s="482"/>
      <c r="S494" s="484"/>
      <c r="T494" s="484"/>
      <c r="U494" s="484"/>
      <c r="V494" s="410"/>
      <c r="Y494" s="479" t="str">
        <f>"³ "&amp;'Talnagögn | Numerical Data'!$H$187</f>
        <v>³ Emissions from the manure management</v>
      </c>
      <c r="Z494" s="482"/>
      <c r="AA494" s="482"/>
      <c r="AB494" s="482"/>
      <c r="AC494" s="482"/>
      <c r="AD494" s="482"/>
      <c r="AE494" s="482"/>
      <c r="AF494" s="482"/>
      <c r="AG494" s="482"/>
      <c r="AH494" s="482"/>
      <c r="AI494" s="482"/>
      <c r="AJ494" s="482"/>
      <c r="AK494" s="482"/>
      <c r="AL494" s="482"/>
      <c r="AM494" s="484"/>
      <c r="AN494" s="484"/>
      <c r="AO494" s="484"/>
      <c r="AP494" s="484"/>
      <c r="AQ494" s="484"/>
      <c r="AR494" s="484"/>
      <c r="AS494" s="484"/>
    </row>
    <row r="495" spans="1:45" s="21" customFormat="1" x14ac:dyDescent="0.4">
      <c r="A495" s="27"/>
      <c r="B495" s="648"/>
      <c r="C495" s="645"/>
      <c r="D495" s="131"/>
      <c r="E495" s="479" t="str">
        <f>"⁴ "&amp;'Talnagögn | Numerical Data'!$E$189</f>
        <v>⁴ Kölkun og CO₂-losun frá áburði</v>
      </c>
      <c r="F495" s="482"/>
      <c r="G495" s="482"/>
      <c r="H495" s="482"/>
      <c r="I495" s="482"/>
      <c r="J495" s="482"/>
      <c r="K495" s="482"/>
      <c r="L495" s="482"/>
      <c r="M495" s="482"/>
      <c r="N495" s="482"/>
      <c r="O495" s="482"/>
      <c r="P495" s="482"/>
      <c r="Q495" s="482"/>
      <c r="R495" s="482"/>
      <c r="S495" s="484"/>
      <c r="T495" s="484"/>
      <c r="U495" s="484"/>
      <c r="V495" s="410"/>
      <c r="Y495" s="479" t="str">
        <f>"⁴ "&amp;'Talnagögn | Numerical Data'!$H$189</f>
        <v>⁴ CO₂ emissions occur from fertilizers containing carbon and from liming. Those emissions are reported here, but most emissions from fertilizer use are nitrous oxide emissions, which are reported within the category Agricultural Soils.</v>
      </c>
      <c r="Z495" s="482"/>
      <c r="AA495" s="482"/>
      <c r="AB495" s="482"/>
      <c r="AC495" s="482"/>
      <c r="AD495" s="482"/>
      <c r="AE495" s="482"/>
      <c r="AF495" s="482"/>
      <c r="AG495" s="482"/>
      <c r="AH495" s="482"/>
      <c r="AI495" s="482"/>
      <c r="AJ495" s="482"/>
      <c r="AK495" s="482"/>
      <c r="AL495" s="482"/>
      <c r="AM495" s="484"/>
      <c r="AN495" s="484"/>
      <c r="AO495" s="484"/>
      <c r="AP495" s="484"/>
      <c r="AQ495" s="484"/>
      <c r="AR495" s="484"/>
      <c r="AS495" s="484"/>
    </row>
    <row r="496" spans="1:45" s="21" customFormat="1" x14ac:dyDescent="0.4">
      <c r="A496" s="27"/>
      <c r="B496" s="648"/>
      <c r="C496" s="645"/>
      <c r="D496" s="131"/>
      <c r="E496" s="483"/>
      <c r="F496" s="482"/>
      <c r="G496" s="482"/>
      <c r="H496" s="482"/>
      <c r="I496" s="482"/>
      <c r="J496" s="482"/>
      <c r="K496" s="482"/>
      <c r="L496" s="482"/>
      <c r="M496" s="482"/>
      <c r="N496" s="482"/>
      <c r="O496" s="482"/>
      <c r="P496" s="482"/>
      <c r="Q496" s="482"/>
      <c r="R496" s="482"/>
      <c r="S496" s="484"/>
      <c r="T496" s="484"/>
      <c r="U496" s="484"/>
      <c r="V496" s="410"/>
      <c r="Y496" s="483"/>
      <c r="Z496" s="482"/>
      <c r="AA496" s="482"/>
      <c r="AB496" s="482"/>
      <c r="AC496" s="482"/>
      <c r="AD496" s="482"/>
      <c r="AE496" s="482"/>
      <c r="AF496" s="482"/>
      <c r="AG496" s="482"/>
      <c r="AH496" s="482"/>
      <c r="AI496" s="482"/>
      <c r="AJ496" s="482"/>
      <c r="AK496" s="482"/>
      <c r="AL496" s="482"/>
      <c r="AM496" s="484"/>
      <c r="AN496" s="484"/>
      <c r="AO496" s="484"/>
      <c r="AP496" s="484"/>
      <c r="AQ496" s="484"/>
      <c r="AR496" s="484"/>
      <c r="AS496" s="484"/>
    </row>
    <row r="497" spans="1:45" s="21" customFormat="1" ht="13.35" customHeight="1" x14ac:dyDescent="0.4">
      <c r="A497" s="632" t="str">
        <f>"LANDBÚNAÐUR "&amp;$A$1</f>
        <v>LANDBÚNAÐUR 2025</v>
      </c>
      <c r="B497" s="632" t="str">
        <f>"AGRICULTURE "&amp;$A$1</f>
        <v>AGRICULTURE 2025</v>
      </c>
      <c r="C497" s="645" t="s">
        <v>44</v>
      </c>
      <c r="D497" s="131" t="s">
        <v>44</v>
      </c>
      <c r="E497" s="132"/>
      <c r="F497" s="115"/>
      <c r="G497" s="115"/>
      <c r="H497" s="115"/>
      <c r="I497" s="115"/>
      <c r="J497" s="115"/>
      <c r="K497" s="115"/>
      <c r="L497" s="115"/>
      <c r="M497" s="115"/>
      <c r="N497" s="115"/>
      <c r="O497" s="115"/>
      <c r="P497" s="115"/>
      <c r="Q497" s="115"/>
      <c r="R497" s="115"/>
      <c r="S497" s="178"/>
      <c r="T497" s="178"/>
      <c r="U497" s="178"/>
      <c r="V497" s="410"/>
      <c r="Z497" s="178"/>
      <c r="AA497" s="178"/>
      <c r="AB497" s="178"/>
      <c r="AC497" s="178"/>
      <c r="AD497" s="178"/>
      <c r="AE497" s="420"/>
      <c r="AF497" s="178"/>
      <c r="AG497" s="178"/>
      <c r="AH497" s="178"/>
      <c r="AI497" s="178"/>
      <c r="AJ497" s="178"/>
      <c r="AK497" s="178"/>
      <c r="AL497" s="178"/>
      <c r="AM497" s="178"/>
      <c r="AN497" s="178"/>
      <c r="AO497" s="178"/>
      <c r="AP497" s="178"/>
      <c r="AQ497" s="178"/>
      <c r="AR497" s="178"/>
      <c r="AS497" s="178"/>
    </row>
    <row r="498" spans="1:45" s="21" customFormat="1" ht="13.5" customHeight="1" x14ac:dyDescent="0.4">
      <c r="A498" s="27"/>
      <c r="B498" s="648"/>
      <c r="C498" s="648"/>
      <c r="D498" s="131" t="s">
        <v>44</v>
      </c>
      <c r="E498" s="132"/>
      <c r="F498" s="115"/>
      <c r="G498" s="115"/>
      <c r="H498" s="115"/>
      <c r="I498" s="115"/>
      <c r="J498" s="115"/>
      <c r="K498" s="115"/>
      <c r="L498" s="115"/>
      <c r="M498" s="115"/>
      <c r="N498" s="115"/>
      <c r="O498" s="115"/>
      <c r="P498" s="115"/>
      <c r="Q498" s="115"/>
      <c r="R498" s="115"/>
      <c r="S498" s="178"/>
      <c r="T498" s="178"/>
      <c r="U498" s="178"/>
      <c r="V498" s="410"/>
      <c r="Z498" s="178"/>
      <c r="AA498" s="178"/>
      <c r="AB498" s="178"/>
      <c r="AC498" s="178"/>
      <c r="AD498" s="178"/>
      <c r="AE498" s="178"/>
      <c r="AF498" s="178"/>
      <c r="AG498" s="178"/>
      <c r="AH498" s="178"/>
      <c r="AI498" s="178"/>
      <c r="AJ498" s="178"/>
      <c r="AK498" s="178"/>
      <c r="AL498" s="178"/>
      <c r="AM498" s="178"/>
      <c r="AN498" s="178"/>
      <c r="AO498" s="178"/>
      <c r="AP498" s="178"/>
      <c r="AQ498" s="178"/>
      <c r="AR498" s="178"/>
      <c r="AS498" s="178"/>
    </row>
    <row r="499" spans="1:45" s="21" customFormat="1" ht="13.5" customHeight="1" x14ac:dyDescent="0.4">
      <c r="A499" s="27"/>
      <c r="B499" s="648"/>
      <c r="C499" s="648"/>
      <c r="D499" s="131" t="s">
        <v>44</v>
      </c>
      <c r="E499" s="132"/>
      <c r="F499" s="115"/>
      <c r="G499" s="115"/>
      <c r="H499" s="115"/>
      <c r="I499" s="115"/>
      <c r="J499" s="115"/>
      <c r="K499" s="115"/>
      <c r="L499" s="115"/>
      <c r="M499" s="115"/>
      <c r="N499" s="115"/>
      <c r="O499" s="115"/>
      <c r="P499" s="115"/>
      <c r="Q499" s="115"/>
      <c r="R499" s="115"/>
      <c r="S499" s="178"/>
      <c r="T499" s="178"/>
      <c r="U499" s="178"/>
      <c r="V499" s="410"/>
      <c r="Z499" s="178"/>
      <c r="AA499" s="178"/>
      <c r="AB499" s="178"/>
      <c r="AC499" s="178"/>
      <c r="AD499" s="178"/>
      <c r="AE499" s="178"/>
      <c r="AF499" s="178"/>
      <c r="AG499" s="178"/>
      <c r="AH499" s="178"/>
      <c r="AI499" s="178"/>
      <c r="AJ499" s="178"/>
      <c r="AK499" s="178"/>
      <c r="AL499" s="178"/>
      <c r="AM499" s="178"/>
      <c r="AN499" s="178"/>
      <c r="AO499" s="178"/>
      <c r="AP499" s="178"/>
      <c r="AQ499" s="178"/>
      <c r="AR499" s="178"/>
      <c r="AS499" s="178"/>
    </row>
    <row r="500" spans="1:45" s="21" customFormat="1" ht="13.5" customHeight="1" x14ac:dyDescent="0.4">
      <c r="A500" s="27"/>
      <c r="B500" s="648"/>
      <c r="C500" s="648"/>
      <c r="D500" s="131" t="s">
        <v>44</v>
      </c>
      <c r="E500" s="132"/>
      <c r="F500" s="115"/>
      <c r="G500" s="115"/>
      <c r="H500" s="115"/>
      <c r="I500" s="115"/>
      <c r="J500" s="115"/>
      <c r="K500" s="115"/>
      <c r="L500" s="115"/>
      <c r="M500" s="115"/>
      <c r="N500" s="115"/>
      <c r="O500" s="115"/>
      <c r="P500" s="115"/>
      <c r="Q500" s="115"/>
      <c r="R500" s="115"/>
      <c r="S500" s="178"/>
      <c r="T500" s="178"/>
      <c r="U500" s="178"/>
      <c r="V500" s="410"/>
      <c r="Z500" s="178"/>
      <c r="AA500" s="178"/>
      <c r="AB500" s="178"/>
      <c r="AC500" s="178"/>
      <c r="AD500" s="178"/>
      <c r="AE500" s="178"/>
      <c r="AF500" s="178"/>
      <c r="AG500" s="178"/>
      <c r="AH500" s="178"/>
      <c r="AI500" s="178"/>
      <c r="AJ500" s="178"/>
      <c r="AK500" s="178"/>
      <c r="AL500" s="178"/>
      <c r="AM500" s="178"/>
      <c r="AN500" s="178"/>
      <c r="AO500" s="178"/>
      <c r="AP500" s="178"/>
      <c r="AQ500" s="178"/>
      <c r="AR500" s="178"/>
      <c r="AS500" s="178"/>
    </row>
    <row r="501" spans="1:45" s="21" customFormat="1" ht="13.5" customHeight="1" x14ac:dyDescent="0.4">
      <c r="A501" s="27"/>
      <c r="B501" s="645"/>
      <c r="C501" s="648"/>
      <c r="D501" s="131" t="s">
        <v>44</v>
      </c>
      <c r="E501" s="132"/>
      <c r="F501" s="115"/>
      <c r="G501" s="115"/>
      <c r="H501" s="115"/>
      <c r="I501" s="115"/>
      <c r="J501" s="115"/>
      <c r="K501" s="115"/>
      <c r="L501" s="115"/>
      <c r="M501" s="115"/>
      <c r="N501" s="115"/>
      <c r="O501" s="115"/>
      <c r="P501" s="115"/>
      <c r="Q501" s="115"/>
      <c r="R501" s="115"/>
      <c r="S501" s="178"/>
      <c r="T501" s="178"/>
      <c r="U501" s="178"/>
      <c r="V501" s="410"/>
      <c r="Z501" s="178"/>
      <c r="AA501" s="178"/>
      <c r="AB501" s="178"/>
      <c r="AC501" s="178"/>
      <c r="AD501" s="178"/>
      <c r="AE501" s="178"/>
      <c r="AF501" s="178"/>
      <c r="AG501" s="178"/>
      <c r="AH501" s="178"/>
      <c r="AI501" s="178"/>
      <c r="AJ501" s="178"/>
      <c r="AK501" s="178"/>
      <c r="AL501" s="178"/>
      <c r="AM501" s="178"/>
      <c r="AN501" s="178"/>
      <c r="AO501" s="178"/>
      <c r="AP501" s="178"/>
      <c r="AQ501" s="178"/>
      <c r="AR501" s="178"/>
      <c r="AS501" s="178"/>
    </row>
    <row r="502" spans="1:45" s="21" customFormat="1" ht="13.5" customHeight="1" x14ac:dyDescent="0.4">
      <c r="A502" s="27"/>
      <c r="B502" s="645"/>
      <c r="C502" s="648"/>
      <c r="D502" s="131" t="s">
        <v>44</v>
      </c>
      <c r="E502" s="132"/>
      <c r="F502" s="115"/>
      <c r="G502" s="115"/>
      <c r="H502" s="115"/>
      <c r="I502" s="115"/>
      <c r="J502" s="115"/>
      <c r="K502" s="115"/>
      <c r="L502" s="115"/>
      <c r="M502" s="115"/>
      <c r="N502" s="115"/>
      <c r="O502" s="115"/>
      <c r="P502" s="115"/>
      <c r="Q502" s="115"/>
      <c r="R502" s="115"/>
      <c r="S502" s="178"/>
      <c r="T502" s="178"/>
      <c r="U502" s="178"/>
      <c r="V502" s="410"/>
      <c r="Z502" s="178"/>
      <c r="AA502" s="178"/>
      <c r="AB502" s="178"/>
      <c r="AC502" s="178"/>
      <c r="AD502" s="178"/>
      <c r="AE502" s="178"/>
      <c r="AF502" s="178"/>
      <c r="AG502" s="178"/>
      <c r="AH502" s="178"/>
      <c r="AI502" s="178"/>
      <c r="AJ502" s="178"/>
      <c r="AK502" s="178"/>
      <c r="AL502" s="178"/>
      <c r="AM502" s="178"/>
      <c r="AN502" s="178"/>
      <c r="AO502" s="178"/>
      <c r="AP502" s="178"/>
      <c r="AQ502" s="178"/>
      <c r="AR502" s="178"/>
      <c r="AS502" s="178"/>
    </row>
    <row r="503" spans="1:45" s="21" customFormat="1" ht="13.5" customHeight="1" x14ac:dyDescent="0.4">
      <c r="A503" s="27"/>
      <c r="B503" s="645"/>
      <c r="C503" s="648"/>
      <c r="D503" s="131" t="s">
        <v>44</v>
      </c>
      <c r="E503" s="132"/>
      <c r="F503" s="115"/>
      <c r="G503" s="115"/>
      <c r="H503" s="115"/>
      <c r="I503" s="115"/>
      <c r="J503" s="115"/>
      <c r="K503" s="115"/>
      <c r="L503" s="115"/>
      <c r="M503" s="115"/>
      <c r="N503" s="115"/>
      <c r="O503" s="115"/>
      <c r="P503" s="115"/>
      <c r="Q503" s="115"/>
      <c r="R503" s="115"/>
      <c r="S503" s="178"/>
      <c r="T503" s="178"/>
      <c r="U503" s="178"/>
      <c r="V503" s="410"/>
      <c r="Z503" s="178"/>
      <c r="AA503" s="178"/>
      <c r="AB503" s="178"/>
      <c r="AC503" s="178"/>
      <c r="AD503" s="178"/>
      <c r="AE503" s="178"/>
      <c r="AF503" s="178"/>
      <c r="AG503" s="178"/>
      <c r="AH503" s="178"/>
      <c r="AI503" s="178"/>
      <c r="AJ503" s="178"/>
      <c r="AK503" s="178"/>
      <c r="AL503" s="178"/>
      <c r="AM503" s="178"/>
      <c r="AN503" s="178"/>
      <c r="AO503" s="178"/>
      <c r="AP503" s="178"/>
      <c r="AQ503" s="178"/>
      <c r="AR503" s="178"/>
      <c r="AS503" s="178"/>
    </row>
    <row r="504" spans="1:45" s="21" customFormat="1" ht="13.5" customHeight="1" x14ac:dyDescent="0.4">
      <c r="A504" s="27"/>
      <c r="B504" s="645"/>
      <c r="C504" s="648"/>
      <c r="D504" s="131" t="s">
        <v>44</v>
      </c>
      <c r="E504" s="132"/>
      <c r="F504" s="115"/>
      <c r="G504" s="115"/>
      <c r="H504" s="115"/>
      <c r="I504" s="115"/>
      <c r="J504" s="115"/>
      <c r="K504" s="115"/>
      <c r="L504" s="115"/>
      <c r="M504" s="115"/>
      <c r="N504" s="115"/>
      <c r="O504" s="115"/>
      <c r="P504" s="115"/>
      <c r="Q504" s="115"/>
      <c r="R504" s="115"/>
      <c r="S504" s="178"/>
      <c r="T504" s="178"/>
      <c r="U504" s="178"/>
      <c r="V504" s="410"/>
      <c r="Z504" s="178"/>
      <c r="AA504" s="178"/>
      <c r="AB504" s="178"/>
      <c r="AC504" s="178"/>
      <c r="AD504" s="178"/>
      <c r="AE504" s="178"/>
      <c r="AF504" s="178"/>
      <c r="AG504" s="178"/>
      <c r="AH504" s="178"/>
      <c r="AI504" s="178"/>
      <c r="AJ504" s="178"/>
      <c r="AK504" s="178"/>
      <c r="AL504" s="178"/>
      <c r="AM504" s="178"/>
      <c r="AN504" s="178"/>
      <c r="AO504" s="178"/>
      <c r="AP504" s="178"/>
      <c r="AQ504" s="178"/>
      <c r="AR504" s="178"/>
      <c r="AS504" s="178"/>
    </row>
    <row r="505" spans="1:45" s="21" customFormat="1" ht="13.5" customHeight="1" x14ac:dyDescent="0.4">
      <c r="A505" s="27"/>
      <c r="B505" s="645"/>
      <c r="C505" s="648"/>
      <c r="D505" s="131" t="s">
        <v>44</v>
      </c>
      <c r="E505" s="132"/>
      <c r="F505" s="115"/>
      <c r="G505" s="115"/>
      <c r="H505" s="115"/>
      <c r="I505" s="115"/>
      <c r="J505" s="115"/>
      <c r="K505" s="115"/>
      <c r="L505" s="115"/>
      <c r="M505" s="115"/>
      <c r="N505" s="115"/>
      <c r="O505" s="115"/>
      <c r="P505" s="115"/>
      <c r="Q505" s="115"/>
      <c r="R505" s="115"/>
      <c r="S505" s="178"/>
      <c r="T505" s="178"/>
      <c r="U505" s="178"/>
      <c r="V505" s="410"/>
      <c r="Z505" s="178"/>
      <c r="AA505" s="178"/>
      <c r="AB505" s="178"/>
      <c r="AC505" s="178"/>
      <c r="AD505" s="178"/>
      <c r="AE505" s="178"/>
      <c r="AF505" s="178"/>
      <c r="AG505" s="178"/>
      <c r="AH505" s="178"/>
      <c r="AI505" s="178"/>
      <c r="AJ505" s="178"/>
      <c r="AK505" s="178"/>
      <c r="AL505" s="178"/>
      <c r="AM505" s="178"/>
      <c r="AN505" s="178"/>
      <c r="AO505" s="178"/>
      <c r="AP505" s="178"/>
      <c r="AQ505" s="178"/>
      <c r="AR505" s="178"/>
      <c r="AS505" s="178"/>
    </row>
    <row r="506" spans="1:45" s="21" customFormat="1" ht="13.5" customHeight="1" x14ac:dyDescent="0.4">
      <c r="A506" s="27"/>
      <c r="B506" s="645"/>
      <c r="C506" s="645"/>
      <c r="D506" s="131" t="s">
        <v>44</v>
      </c>
      <c r="E506" s="132"/>
      <c r="F506" s="115"/>
      <c r="G506" s="115"/>
      <c r="H506" s="115"/>
      <c r="I506" s="115"/>
      <c r="J506" s="115"/>
      <c r="K506" s="115"/>
      <c r="L506" s="115"/>
      <c r="M506" s="115"/>
      <c r="N506" s="115"/>
      <c r="O506" s="115"/>
      <c r="P506" s="115"/>
      <c r="Q506" s="115"/>
      <c r="R506" s="115"/>
      <c r="S506" s="178"/>
      <c r="T506" s="178"/>
      <c r="U506" s="178"/>
      <c r="V506" s="410"/>
      <c r="Z506" s="178"/>
      <c r="AA506" s="178"/>
      <c r="AB506" s="178"/>
      <c r="AC506" s="178"/>
      <c r="AD506" s="178"/>
      <c r="AE506" s="178"/>
      <c r="AF506" s="178"/>
      <c r="AG506" s="178"/>
      <c r="AH506" s="178"/>
      <c r="AI506" s="178"/>
      <c r="AJ506" s="178"/>
      <c r="AK506" s="178"/>
      <c r="AL506" s="178"/>
      <c r="AM506" s="178"/>
      <c r="AN506" s="178"/>
      <c r="AO506" s="178"/>
      <c r="AP506" s="178"/>
      <c r="AQ506" s="178"/>
      <c r="AR506" s="178"/>
      <c r="AS506" s="178"/>
    </row>
    <row r="507" spans="1:45" s="21" customFormat="1" ht="13.5" customHeight="1" x14ac:dyDescent="0.4">
      <c r="A507" s="27"/>
      <c r="B507" s="645"/>
      <c r="C507" s="645"/>
      <c r="D507" s="131" t="s">
        <v>44</v>
      </c>
      <c r="E507" s="132"/>
      <c r="F507" s="115"/>
      <c r="G507" s="115"/>
      <c r="H507" s="115"/>
      <c r="I507" s="115"/>
      <c r="J507" s="115"/>
      <c r="K507" s="115"/>
      <c r="L507" s="115"/>
      <c r="M507" s="115"/>
      <c r="N507" s="115"/>
      <c r="O507" s="115"/>
      <c r="P507" s="115"/>
      <c r="Q507" s="115"/>
      <c r="R507" s="115"/>
      <c r="S507" s="178"/>
      <c r="T507" s="178"/>
      <c r="U507" s="178"/>
      <c r="V507" s="410"/>
      <c r="Z507" s="178"/>
      <c r="AA507" s="178"/>
      <c r="AB507" s="178"/>
      <c r="AC507" s="178"/>
      <c r="AD507" s="178"/>
      <c r="AE507" s="178"/>
      <c r="AF507" s="178"/>
      <c r="AG507" s="178"/>
      <c r="AH507" s="178"/>
      <c r="AI507" s="178"/>
      <c r="AJ507" s="178"/>
      <c r="AK507" s="178"/>
      <c r="AL507" s="178"/>
      <c r="AM507" s="178"/>
      <c r="AN507" s="178"/>
      <c r="AO507" s="178"/>
      <c r="AP507" s="178"/>
      <c r="AQ507" s="178"/>
      <c r="AR507" s="178"/>
      <c r="AS507" s="178"/>
    </row>
    <row r="508" spans="1:45" s="21" customFormat="1" ht="13.5" customHeight="1" x14ac:dyDescent="0.4">
      <c r="A508" s="27"/>
      <c r="B508" s="645"/>
      <c r="C508" s="645"/>
      <c r="D508" s="131" t="s">
        <v>44</v>
      </c>
      <c r="E508" s="132"/>
      <c r="F508" s="115"/>
      <c r="G508" s="115"/>
      <c r="H508" s="115"/>
      <c r="I508" s="115"/>
      <c r="J508" s="115"/>
      <c r="K508" s="115"/>
      <c r="L508" s="115"/>
      <c r="M508" s="115"/>
      <c r="N508" s="115"/>
      <c r="O508" s="115"/>
      <c r="P508" s="115"/>
      <c r="Q508" s="115"/>
      <c r="R508" s="115"/>
      <c r="S508" s="178"/>
      <c r="T508" s="178"/>
      <c r="U508" s="178"/>
      <c r="V508" s="410"/>
      <c r="Z508" s="178"/>
      <c r="AA508" s="178"/>
      <c r="AB508" s="178"/>
      <c r="AC508" s="178"/>
      <c r="AD508" s="178"/>
      <c r="AE508" s="178"/>
      <c r="AF508" s="178"/>
      <c r="AG508" s="178"/>
      <c r="AH508" s="178"/>
      <c r="AI508" s="178"/>
      <c r="AJ508" s="178"/>
      <c r="AK508" s="178"/>
      <c r="AL508" s="178"/>
      <c r="AM508" s="178"/>
      <c r="AN508" s="178"/>
      <c r="AO508" s="178"/>
      <c r="AP508" s="178"/>
      <c r="AQ508" s="178"/>
      <c r="AR508" s="178"/>
      <c r="AS508" s="178"/>
    </row>
    <row r="509" spans="1:45" s="21" customFormat="1" ht="13.5" customHeight="1" x14ac:dyDescent="0.4">
      <c r="A509" s="27"/>
      <c r="B509" s="645"/>
      <c r="C509" s="645"/>
      <c r="D509" s="131" t="s">
        <v>44</v>
      </c>
      <c r="E509" s="132"/>
      <c r="F509" s="115"/>
      <c r="G509" s="115"/>
      <c r="H509" s="115"/>
      <c r="I509" s="115"/>
      <c r="J509" s="115"/>
      <c r="K509" s="115"/>
      <c r="L509" s="115"/>
      <c r="M509" s="115"/>
      <c r="N509" s="115"/>
      <c r="O509" s="115"/>
      <c r="P509" s="115"/>
      <c r="Q509" s="115"/>
      <c r="R509" s="115"/>
      <c r="S509" s="178"/>
      <c r="T509" s="178"/>
      <c r="U509" s="178"/>
      <c r="V509" s="410"/>
      <c r="Z509" s="178"/>
      <c r="AA509" s="178"/>
      <c r="AB509" s="178"/>
      <c r="AC509" s="178"/>
      <c r="AD509" s="178"/>
      <c r="AE509" s="178"/>
      <c r="AF509" s="178"/>
      <c r="AG509" s="178"/>
      <c r="AH509" s="178"/>
      <c r="AI509" s="178"/>
      <c r="AJ509" s="178"/>
      <c r="AK509" s="178"/>
      <c r="AL509" s="178"/>
      <c r="AM509" s="178"/>
      <c r="AN509" s="178"/>
      <c r="AO509" s="178"/>
      <c r="AP509" s="178"/>
      <c r="AQ509" s="178"/>
      <c r="AR509" s="178"/>
      <c r="AS509" s="178"/>
    </row>
    <row r="510" spans="1:45" s="21" customFormat="1" ht="13.5" customHeight="1" x14ac:dyDescent="0.4">
      <c r="A510" s="27"/>
      <c r="B510" s="645"/>
      <c r="C510" s="645"/>
      <c r="D510" s="131" t="s">
        <v>44</v>
      </c>
      <c r="E510" s="132"/>
      <c r="F510" s="115"/>
      <c r="G510" s="115"/>
      <c r="H510" s="115"/>
      <c r="I510" s="115"/>
      <c r="J510" s="115"/>
      <c r="K510" s="115"/>
      <c r="L510" s="115"/>
      <c r="M510" s="115"/>
      <c r="N510" s="115"/>
      <c r="O510" s="115"/>
      <c r="P510" s="115"/>
      <c r="Q510" s="115"/>
      <c r="R510" s="115"/>
      <c r="S510" s="178"/>
      <c r="T510" s="178"/>
      <c r="U510" s="178"/>
      <c r="V510" s="410"/>
      <c r="Z510" s="178"/>
      <c r="AA510" s="178"/>
      <c r="AB510" s="178"/>
      <c r="AC510" s="178"/>
      <c r="AD510" s="178"/>
      <c r="AE510" s="178"/>
      <c r="AF510" s="178"/>
      <c r="AG510" s="178"/>
      <c r="AH510" s="178"/>
      <c r="AI510" s="178"/>
      <c r="AJ510" s="178"/>
      <c r="AK510" s="178"/>
      <c r="AL510" s="178"/>
      <c r="AM510" s="178"/>
      <c r="AN510" s="178"/>
      <c r="AO510" s="178"/>
      <c r="AP510" s="178"/>
      <c r="AQ510" s="178"/>
      <c r="AR510" s="178"/>
      <c r="AS510" s="178"/>
    </row>
    <row r="511" spans="1:45" s="21" customFormat="1" ht="13.5" customHeight="1" x14ac:dyDescent="0.4">
      <c r="A511" s="27"/>
      <c r="B511" s="648"/>
      <c r="C511" s="648"/>
      <c r="D511" s="131" t="s">
        <v>44</v>
      </c>
      <c r="E511" s="132"/>
      <c r="F511" s="115"/>
      <c r="G511" s="115"/>
      <c r="H511" s="115"/>
      <c r="I511" s="115"/>
      <c r="J511" s="115"/>
      <c r="K511" s="115"/>
      <c r="L511" s="115"/>
      <c r="M511" s="115"/>
      <c r="N511" s="115"/>
      <c r="O511" s="115"/>
      <c r="P511" s="115"/>
      <c r="Q511" s="115"/>
      <c r="R511" s="115"/>
      <c r="S511" s="178"/>
      <c r="T511" s="178"/>
      <c r="U511" s="178"/>
      <c r="V511" s="410"/>
      <c r="Z511" s="178"/>
      <c r="AA511" s="178"/>
      <c r="AB511" s="178"/>
      <c r="AC511" s="178"/>
      <c r="AD511" s="178"/>
      <c r="AE511" s="178"/>
      <c r="AF511" s="178"/>
      <c r="AG511" s="178"/>
      <c r="AH511" s="178"/>
      <c r="AI511" s="178"/>
      <c r="AJ511" s="178"/>
      <c r="AK511" s="178"/>
      <c r="AL511" s="178"/>
      <c r="AM511" s="178"/>
      <c r="AN511" s="178"/>
      <c r="AO511" s="178"/>
      <c r="AP511" s="178"/>
      <c r="AQ511" s="178"/>
      <c r="AR511" s="178"/>
      <c r="AS511" s="178"/>
    </row>
    <row r="512" spans="1:45" s="21" customFormat="1" ht="13.5" customHeight="1" x14ac:dyDescent="0.4">
      <c r="A512" s="27"/>
      <c r="B512" s="648"/>
      <c r="C512" s="648"/>
      <c r="D512" s="131" t="s">
        <v>44</v>
      </c>
      <c r="E512" s="132"/>
      <c r="F512" s="115"/>
      <c r="G512" s="115"/>
      <c r="H512" s="115"/>
      <c r="I512" s="115"/>
      <c r="J512" s="115"/>
      <c r="K512" s="115"/>
      <c r="L512" s="115"/>
      <c r="M512" s="115"/>
      <c r="N512" s="115"/>
      <c r="O512" s="115"/>
      <c r="P512" s="115"/>
      <c r="Q512" s="115"/>
      <c r="R512" s="115"/>
      <c r="S512" s="115"/>
      <c r="T512" s="115"/>
      <c r="U512" s="115"/>
      <c r="V512" s="414"/>
      <c r="W512" s="120"/>
      <c r="X512" s="120"/>
      <c r="Y512" s="120"/>
      <c r="Z512" s="178"/>
      <c r="AA512" s="178"/>
      <c r="AB512" s="178"/>
      <c r="AC512" s="178"/>
      <c r="AD512" s="178"/>
      <c r="AE512" s="178"/>
      <c r="AF512" s="178"/>
      <c r="AG512" s="178"/>
      <c r="AH512" s="178"/>
      <c r="AI512" s="178"/>
      <c r="AJ512" s="178"/>
      <c r="AK512" s="178"/>
      <c r="AL512" s="178"/>
      <c r="AM512" s="178"/>
      <c r="AN512" s="178"/>
      <c r="AO512" s="178"/>
      <c r="AP512" s="178"/>
      <c r="AQ512" s="178"/>
      <c r="AR512" s="178"/>
      <c r="AS512" s="178"/>
    </row>
    <row r="513" spans="1:45" s="21" customFormat="1" ht="13.5" customHeight="1" x14ac:dyDescent="0.4">
      <c r="A513" s="27"/>
      <c r="B513" s="648"/>
      <c r="C513" s="648"/>
      <c r="D513" s="131" t="s">
        <v>44</v>
      </c>
      <c r="E513" s="132"/>
      <c r="F513" s="115"/>
      <c r="G513" s="115"/>
      <c r="H513" s="115"/>
      <c r="I513" s="115"/>
      <c r="J513" s="115"/>
      <c r="K513" s="115"/>
      <c r="L513" s="115"/>
      <c r="M513" s="115"/>
      <c r="N513" s="115"/>
      <c r="O513" s="115"/>
      <c r="P513" s="115"/>
      <c r="Q513" s="115"/>
      <c r="R513" s="115"/>
      <c r="S513" s="115"/>
      <c r="T513" s="115"/>
      <c r="U513" s="115"/>
      <c r="V513" s="414"/>
      <c r="W513" s="120"/>
      <c r="X513" s="120"/>
      <c r="Y513" s="120"/>
      <c r="Z513" s="178"/>
      <c r="AA513" s="178"/>
      <c r="AB513" s="178"/>
      <c r="AC513" s="178"/>
      <c r="AD513" s="178"/>
      <c r="AE513" s="178"/>
      <c r="AF513" s="178"/>
      <c r="AG513" s="178"/>
      <c r="AH513" s="178"/>
      <c r="AI513" s="178"/>
      <c r="AJ513" s="178"/>
      <c r="AK513" s="178"/>
      <c r="AL513" s="178"/>
      <c r="AM513" s="178"/>
      <c r="AN513" s="178"/>
      <c r="AO513" s="178"/>
      <c r="AP513" s="178"/>
      <c r="AQ513" s="178"/>
      <c r="AR513" s="178"/>
      <c r="AS513" s="178"/>
    </row>
    <row r="514" spans="1:45" s="21" customFormat="1" ht="13.5" customHeight="1" x14ac:dyDescent="0.4">
      <c r="A514" s="27"/>
      <c r="B514" s="648"/>
      <c r="C514" s="648"/>
      <c r="D514" s="131" t="s">
        <v>44</v>
      </c>
      <c r="E514" s="132"/>
      <c r="F514" s="115"/>
      <c r="G514" s="115"/>
      <c r="H514" s="115"/>
      <c r="I514" s="115"/>
      <c r="J514" s="115"/>
      <c r="K514" s="115"/>
      <c r="L514" s="115"/>
      <c r="M514" s="115"/>
      <c r="N514" s="115"/>
      <c r="O514" s="115"/>
      <c r="P514" s="115"/>
      <c r="Q514" s="115"/>
      <c r="R514" s="115"/>
      <c r="S514" s="115"/>
      <c r="T514" s="115"/>
      <c r="U514" s="115"/>
      <c r="V514" s="414"/>
      <c r="W514" s="120"/>
      <c r="X514" s="120"/>
      <c r="Y514" s="120"/>
      <c r="Z514" s="178"/>
      <c r="AA514" s="178"/>
      <c r="AB514" s="178"/>
      <c r="AC514" s="178"/>
      <c r="AD514" s="178"/>
      <c r="AE514" s="178"/>
      <c r="AF514" s="178"/>
      <c r="AG514" s="178"/>
      <c r="AH514" s="178"/>
      <c r="AI514" s="178"/>
      <c r="AJ514" s="178"/>
      <c r="AK514" s="178"/>
      <c r="AL514" s="178"/>
      <c r="AM514" s="178"/>
      <c r="AN514" s="178"/>
      <c r="AO514" s="178"/>
      <c r="AP514" s="178"/>
      <c r="AQ514" s="178"/>
      <c r="AR514" s="178"/>
      <c r="AS514" s="178"/>
    </row>
    <row r="515" spans="1:45" s="21" customFormat="1" ht="13.5" customHeight="1" x14ac:dyDescent="0.4">
      <c r="A515" s="27"/>
      <c r="B515" s="648"/>
      <c r="C515" s="648"/>
      <c r="D515" s="131" t="s">
        <v>44</v>
      </c>
      <c r="E515" s="132"/>
      <c r="F515" s="115"/>
      <c r="G515" s="115"/>
      <c r="H515" s="115"/>
      <c r="I515" s="115"/>
      <c r="J515" s="115"/>
      <c r="K515" s="115"/>
      <c r="L515" s="115"/>
      <c r="M515" s="115"/>
      <c r="N515" s="115"/>
      <c r="O515" s="115"/>
      <c r="P515" s="115"/>
      <c r="Q515" s="115"/>
      <c r="R515" s="115"/>
      <c r="S515" s="115"/>
      <c r="T515" s="115"/>
      <c r="U515" s="115"/>
      <c r="V515" s="414"/>
      <c r="W515" s="120"/>
      <c r="X515" s="120"/>
      <c r="Y515" s="120"/>
      <c r="Z515" s="178"/>
      <c r="AA515" s="178"/>
      <c r="AB515" s="178"/>
      <c r="AC515" s="178"/>
      <c r="AD515" s="178"/>
      <c r="AE515" s="178"/>
      <c r="AF515" s="178"/>
      <c r="AG515" s="178"/>
      <c r="AH515" s="178"/>
      <c r="AI515" s="178"/>
      <c r="AJ515" s="178"/>
      <c r="AK515" s="178"/>
      <c r="AL515" s="178"/>
      <c r="AM515" s="178"/>
      <c r="AN515" s="178"/>
      <c r="AO515" s="178"/>
      <c r="AP515" s="178"/>
      <c r="AQ515" s="178"/>
      <c r="AR515" s="178"/>
      <c r="AS515" s="178"/>
    </row>
    <row r="516" spans="1:45" s="21" customFormat="1" ht="13.5" customHeight="1" x14ac:dyDescent="0.4">
      <c r="A516" s="27"/>
      <c r="B516" s="648"/>
      <c r="C516" s="648"/>
      <c r="D516" s="131" t="s">
        <v>44</v>
      </c>
      <c r="E516" s="132"/>
      <c r="F516" s="115"/>
      <c r="G516" s="115"/>
      <c r="H516" s="115"/>
      <c r="I516" s="115"/>
      <c r="J516" s="115"/>
      <c r="K516" s="115"/>
      <c r="L516" s="115"/>
      <c r="M516" s="115"/>
      <c r="N516" s="115"/>
      <c r="O516" s="115"/>
      <c r="P516" s="115"/>
      <c r="Q516" s="115"/>
      <c r="R516" s="115"/>
      <c r="S516" s="115"/>
      <c r="T516" s="115"/>
      <c r="U516" s="115"/>
      <c r="V516" s="414"/>
      <c r="W516" s="120"/>
      <c r="X516" s="120"/>
      <c r="Y516" s="120"/>
      <c r="Z516" s="178"/>
      <c r="AA516" s="178"/>
      <c r="AB516" s="178"/>
      <c r="AC516" s="178"/>
      <c r="AD516" s="178"/>
      <c r="AE516" s="178"/>
      <c r="AF516" s="178"/>
      <c r="AG516" s="178"/>
      <c r="AH516" s="178"/>
      <c r="AI516" s="178"/>
      <c r="AJ516" s="178"/>
      <c r="AK516" s="178"/>
      <c r="AL516" s="178"/>
      <c r="AM516" s="178"/>
      <c r="AN516" s="178"/>
      <c r="AO516" s="178"/>
      <c r="AP516" s="178"/>
      <c r="AQ516" s="178"/>
      <c r="AR516" s="178"/>
      <c r="AS516" s="178"/>
    </row>
    <row r="517" spans="1:45" s="21" customFormat="1" ht="13.5" customHeight="1" x14ac:dyDescent="0.4">
      <c r="A517" s="27"/>
      <c r="B517" s="648"/>
      <c r="C517" s="648"/>
      <c r="D517" s="131" t="s">
        <v>44</v>
      </c>
      <c r="E517" s="132"/>
      <c r="F517" s="115"/>
      <c r="G517" s="115"/>
      <c r="H517" s="115"/>
      <c r="I517" s="115"/>
      <c r="J517" s="115"/>
      <c r="K517" s="115"/>
      <c r="L517" s="115"/>
      <c r="M517" s="115"/>
      <c r="N517" s="115"/>
      <c r="O517" s="115"/>
      <c r="P517" s="115"/>
      <c r="Q517" s="115"/>
      <c r="R517" s="115"/>
      <c r="S517" s="115"/>
      <c r="T517" s="115"/>
      <c r="U517" s="115"/>
      <c r="V517" s="414"/>
      <c r="W517" s="120"/>
      <c r="X517" s="120"/>
      <c r="Y517" s="120"/>
      <c r="Z517" s="178"/>
      <c r="AA517" s="178"/>
      <c r="AB517" s="178"/>
      <c r="AC517" s="178"/>
      <c r="AD517" s="178"/>
      <c r="AE517" s="178"/>
      <c r="AF517" s="178"/>
      <c r="AG517" s="178"/>
      <c r="AH517" s="178"/>
      <c r="AI517" s="178"/>
      <c r="AJ517" s="178"/>
      <c r="AK517" s="178"/>
      <c r="AL517" s="178"/>
      <c r="AM517" s="178"/>
      <c r="AN517" s="178"/>
      <c r="AO517" s="178"/>
      <c r="AP517" s="178"/>
      <c r="AQ517" s="178"/>
      <c r="AR517" s="178"/>
      <c r="AS517" s="178"/>
    </row>
    <row r="518" spans="1:45" s="21" customFormat="1" ht="13.5" customHeight="1" x14ac:dyDescent="0.4">
      <c r="A518" s="27"/>
      <c r="B518" s="648"/>
      <c r="C518" s="648"/>
      <c r="D518" s="131" t="s">
        <v>44</v>
      </c>
      <c r="E518" s="132"/>
      <c r="F518" s="115"/>
      <c r="G518" s="115"/>
      <c r="H518" s="115"/>
      <c r="I518" s="115"/>
      <c r="J518" s="115"/>
      <c r="K518" s="115"/>
      <c r="L518" s="115"/>
      <c r="M518" s="115"/>
      <c r="N518" s="115"/>
      <c r="O518" s="115"/>
      <c r="P518" s="115"/>
      <c r="Q518" s="115"/>
      <c r="R518" s="115"/>
      <c r="S518" s="115"/>
      <c r="T518" s="115"/>
      <c r="U518" s="115"/>
      <c r="V518" s="414"/>
      <c r="W518" s="120"/>
      <c r="X518" s="120"/>
      <c r="Y518" s="120"/>
      <c r="Z518" s="178"/>
      <c r="AA518" s="178"/>
      <c r="AB518" s="178"/>
      <c r="AC518" s="178"/>
      <c r="AD518" s="178"/>
      <c r="AE518" s="178"/>
      <c r="AF518" s="178"/>
      <c r="AG518" s="178"/>
      <c r="AH518" s="178"/>
      <c r="AI518" s="178"/>
      <c r="AJ518" s="178"/>
      <c r="AK518" s="178"/>
      <c r="AL518" s="178"/>
      <c r="AM518" s="178"/>
      <c r="AN518" s="178"/>
      <c r="AO518" s="178"/>
      <c r="AP518" s="178"/>
      <c r="AQ518" s="178"/>
      <c r="AR518" s="178"/>
      <c r="AS518" s="178"/>
    </row>
    <row r="519" spans="1:45" s="21" customFormat="1" ht="13.5" customHeight="1" x14ac:dyDescent="0.4">
      <c r="A519" s="27"/>
      <c r="B519" s="648"/>
      <c r="C519" s="648"/>
      <c r="D519" s="131" t="s">
        <v>44</v>
      </c>
      <c r="E519" s="132"/>
      <c r="F519" s="115"/>
      <c r="G519" s="115"/>
      <c r="H519" s="115"/>
      <c r="I519" s="115"/>
      <c r="J519" s="115"/>
      <c r="K519" s="115"/>
      <c r="L519" s="115"/>
      <c r="M519" s="115"/>
      <c r="N519" s="115"/>
      <c r="O519" s="115"/>
      <c r="P519" s="115"/>
      <c r="Q519" s="115"/>
      <c r="R519" s="115"/>
      <c r="S519" s="115"/>
      <c r="T519" s="115"/>
      <c r="U519" s="115"/>
      <c r="V519" s="414"/>
      <c r="W519" s="120"/>
      <c r="X519" s="120"/>
      <c r="Y519" s="120"/>
      <c r="Z519" s="178"/>
      <c r="AA519" s="178"/>
      <c r="AB519" s="178"/>
      <c r="AC519" s="178"/>
      <c r="AD519" s="178"/>
      <c r="AE519" s="178"/>
      <c r="AF519" s="178"/>
      <c r="AG519" s="178"/>
      <c r="AH519" s="178"/>
      <c r="AI519" s="178"/>
      <c r="AJ519" s="178"/>
      <c r="AK519" s="178"/>
      <c r="AL519" s="178"/>
      <c r="AM519" s="178"/>
      <c r="AN519" s="178"/>
      <c r="AO519" s="178"/>
      <c r="AP519" s="178"/>
      <c r="AQ519" s="178"/>
      <c r="AR519" s="178"/>
      <c r="AS519" s="178"/>
    </row>
    <row r="520" spans="1:45" s="21" customFormat="1" ht="13.5" customHeight="1" x14ac:dyDescent="0.4">
      <c r="A520" s="27"/>
      <c r="B520" s="648"/>
      <c r="C520" s="648"/>
      <c r="D520" s="131" t="s">
        <v>44</v>
      </c>
      <c r="E520" s="132"/>
      <c r="F520" s="115"/>
      <c r="G520" s="115"/>
      <c r="H520" s="115"/>
      <c r="I520" s="115"/>
      <c r="J520" s="115"/>
      <c r="K520" s="115"/>
      <c r="L520" s="115"/>
      <c r="M520" s="115"/>
      <c r="N520" s="115"/>
      <c r="O520" s="115"/>
      <c r="P520" s="115"/>
      <c r="Q520" s="115"/>
      <c r="R520" s="115"/>
      <c r="S520" s="115"/>
      <c r="T520" s="115"/>
      <c r="U520" s="115"/>
      <c r="V520" s="414"/>
      <c r="W520" s="120"/>
      <c r="X520" s="120"/>
      <c r="Y520" s="120"/>
      <c r="Z520" s="178"/>
      <c r="AA520" s="178"/>
      <c r="AB520" s="178"/>
      <c r="AC520" s="178"/>
      <c r="AD520" s="178"/>
      <c r="AE520" s="178"/>
      <c r="AF520" s="178"/>
      <c r="AG520" s="178"/>
      <c r="AH520" s="178"/>
      <c r="AI520" s="178"/>
      <c r="AJ520" s="178"/>
      <c r="AK520" s="178"/>
      <c r="AL520" s="178"/>
      <c r="AM520" s="178"/>
      <c r="AN520" s="178"/>
      <c r="AO520" s="178"/>
      <c r="AP520" s="178"/>
      <c r="AQ520" s="178"/>
      <c r="AR520" s="178"/>
      <c r="AS520" s="178"/>
    </row>
    <row r="521" spans="1:45" s="21" customFormat="1" ht="13.5" customHeight="1" x14ac:dyDescent="0.4">
      <c r="A521" s="27"/>
      <c r="B521" s="648"/>
      <c r="C521" s="648"/>
      <c r="D521" s="131" t="s">
        <v>44</v>
      </c>
      <c r="E521" s="132"/>
      <c r="F521" s="115"/>
      <c r="G521" s="115"/>
      <c r="H521" s="115"/>
      <c r="I521" s="115"/>
      <c r="J521" s="115"/>
      <c r="K521" s="115"/>
      <c r="L521" s="115"/>
      <c r="M521" s="115"/>
      <c r="N521" s="115"/>
      <c r="O521" s="115"/>
      <c r="P521" s="115"/>
      <c r="Q521" s="115"/>
      <c r="R521" s="115"/>
      <c r="S521" s="115"/>
      <c r="T521" s="115"/>
      <c r="U521" s="115"/>
      <c r="V521" s="414"/>
      <c r="W521" s="120"/>
      <c r="X521" s="120"/>
      <c r="Y521" s="120"/>
      <c r="Z521" s="178"/>
      <c r="AA521" s="178"/>
      <c r="AB521" s="178"/>
      <c r="AC521" s="178"/>
      <c r="AD521" s="178"/>
      <c r="AE521" s="178"/>
      <c r="AF521" s="178"/>
      <c r="AG521" s="178"/>
      <c r="AH521" s="178"/>
      <c r="AI521" s="178"/>
      <c r="AJ521" s="178"/>
      <c r="AK521" s="178"/>
      <c r="AL521" s="178"/>
      <c r="AM521" s="178"/>
      <c r="AN521" s="178"/>
      <c r="AO521" s="178"/>
      <c r="AP521" s="178"/>
      <c r="AQ521" s="178"/>
      <c r="AR521" s="178"/>
      <c r="AS521" s="178"/>
    </row>
    <row r="522" spans="1:45" s="21" customFormat="1" ht="13.5" customHeight="1" x14ac:dyDescent="0.4">
      <c r="A522" s="27"/>
      <c r="B522" s="648"/>
      <c r="C522" s="648"/>
      <c r="D522" s="131" t="s">
        <v>44</v>
      </c>
      <c r="E522" s="132"/>
      <c r="F522" s="115"/>
      <c r="G522" s="115"/>
      <c r="H522" s="115"/>
      <c r="I522" s="115"/>
      <c r="J522" s="115"/>
      <c r="K522" s="115"/>
      <c r="L522" s="115"/>
      <c r="M522" s="115"/>
      <c r="N522" s="115"/>
      <c r="O522" s="115"/>
      <c r="P522" s="115"/>
      <c r="Q522" s="115"/>
      <c r="R522" s="115"/>
      <c r="S522" s="115"/>
      <c r="T522" s="115"/>
      <c r="U522" s="115"/>
      <c r="V522" s="414"/>
      <c r="W522" s="120"/>
      <c r="X522" s="120"/>
      <c r="Y522" s="120"/>
      <c r="Z522" s="178"/>
      <c r="AA522" s="178"/>
      <c r="AB522" s="178"/>
      <c r="AC522" s="178"/>
      <c r="AD522" s="178"/>
      <c r="AE522" s="178"/>
      <c r="AF522" s="178"/>
      <c r="AG522" s="178"/>
      <c r="AH522" s="178"/>
      <c r="AI522" s="178"/>
      <c r="AJ522" s="178"/>
      <c r="AK522" s="178"/>
      <c r="AL522" s="178"/>
      <c r="AM522" s="178"/>
      <c r="AN522" s="178"/>
      <c r="AO522" s="178"/>
      <c r="AP522" s="178"/>
      <c r="AQ522" s="178"/>
      <c r="AR522" s="178"/>
      <c r="AS522" s="178"/>
    </row>
    <row r="523" spans="1:45" s="21" customFormat="1" ht="13.5" customHeight="1" x14ac:dyDescent="0.4">
      <c r="A523" s="27"/>
      <c r="B523" s="648"/>
      <c r="C523" s="648"/>
      <c r="D523" s="131" t="s">
        <v>44</v>
      </c>
      <c r="E523" s="132"/>
      <c r="F523" s="115"/>
      <c r="G523" s="115"/>
      <c r="H523" s="115"/>
      <c r="I523" s="115"/>
      <c r="J523" s="115"/>
      <c r="K523" s="115"/>
      <c r="L523" s="115"/>
      <c r="M523" s="115"/>
      <c r="N523" s="115"/>
      <c r="O523" s="115"/>
      <c r="P523" s="115"/>
      <c r="Q523" s="115"/>
      <c r="R523" s="115"/>
      <c r="S523" s="115"/>
      <c r="T523" s="115"/>
      <c r="U523" s="115"/>
      <c r="V523" s="414"/>
      <c r="W523" s="120"/>
      <c r="X523" s="120"/>
      <c r="Y523" s="120"/>
      <c r="Z523" s="178"/>
      <c r="AA523" s="178"/>
      <c r="AB523" s="178"/>
      <c r="AC523" s="178"/>
      <c r="AD523" s="178"/>
      <c r="AE523" s="178"/>
      <c r="AF523" s="178"/>
      <c r="AG523" s="178"/>
      <c r="AH523" s="178"/>
      <c r="AI523" s="178"/>
      <c r="AJ523" s="178"/>
      <c r="AK523" s="178"/>
      <c r="AL523" s="178"/>
      <c r="AM523" s="178"/>
      <c r="AN523" s="178"/>
      <c r="AO523" s="178"/>
      <c r="AP523" s="178"/>
      <c r="AQ523" s="178"/>
      <c r="AR523" s="178"/>
      <c r="AS523" s="178"/>
    </row>
    <row r="524" spans="1:45" s="21" customFormat="1" ht="13.5" customHeight="1" x14ac:dyDescent="0.4">
      <c r="A524" s="27"/>
      <c r="B524" s="648"/>
      <c r="C524" s="648"/>
      <c r="D524" s="131"/>
      <c r="E524" s="132"/>
      <c r="F524" s="115"/>
      <c r="G524" s="115"/>
      <c r="H524" s="115"/>
      <c r="I524" s="115"/>
      <c r="J524" s="115"/>
      <c r="K524" s="115"/>
      <c r="L524" s="115"/>
      <c r="M524" s="115"/>
      <c r="N524" s="115"/>
      <c r="O524" s="115"/>
      <c r="P524" s="115"/>
      <c r="Q524" s="115"/>
      <c r="R524" s="115"/>
      <c r="S524" s="115"/>
      <c r="T524" s="115"/>
      <c r="U524" s="115"/>
      <c r="V524" s="414"/>
      <c r="W524" s="120"/>
      <c r="X524" s="120"/>
      <c r="Y524" s="120"/>
      <c r="Z524" s="178"/>
      <c r="AA524" s="178"/>
      <c r="AB524" s="178"/>
      <c r="AC524" s="178"/>
      <c r="AD524" s="178"/>
      <c r="AE524" s="178"/>
      <c r="AF524" s="178"/>
      <c r="AG524" s="178"/>
      <c r="AH524" s="178"/>
      <c r="AI524" s="178"/>
      <c r="AJ524" s="178"/>
      <c r="AK524" s="178"/>
      <c r="AL524" s="178"/>
      <c r="AM524" s="178"/>
      <c r="AN524" s="178"/>
      <c r="AO524" s="178"/>
      <c r="AP524" s="178"/>
      <c r="AQ524" s="178"/>
      <c r="AR524" s="178"/>
      <c r="AS524" s="178"/>
    </row>
    <row r="525" spans="1:45" s="21" customFormat="1" ht="13.5" customHeight="1" x14ac:dyDescent="0.4">
      <c r="A525" s="27"/>
      <c r="B525" s="648"/>
      <c r="C525" s="648"/>
      <c r="D525" s="131"/>
      <c r="E525" s="132"/>
      <c r="F525" s="115"/>
      <c r="G525" s="115"/>
      <c r="H525" s="115"/>
      <c r="I525" s="115"/>
      <c r="J525" s="115"/>
      <c r="K525" s="115"/>
      <c r="L525" s="115"/>
      <c r="M525" s="115"/>
      <c r="N525" s="115"/>
      <c r="O525" s="115"/>
      <c r="P525" s="115"/>
      <c r="Q525" s="115"/>
      <c r="R525" s="115"/>
      <c r="S525" s="115"/>
      <c r="T525" s="115"/>
      <c r="U525" s="115"/>
      <c r="V525" s="414"/>
      <c r="W525" s="120"/>
      <c r="X525" s="120"/>
      <c r="Y525" s="120"/>
      <c r="Z525" s="178"/>
      <c r="AA525" s="178"/>
      <c r="AB525" s="178"/>
      <c r="AC525" s="178"/>
      <c r="AD525" s="178"/>
      <c r="AE525" s="178"/>
      <c r="AF525" s="178"/>
      <c r="AG525" s="178"/>
      <c r="AH525" s="178"/>
      <c r="AI525" s="178"/>
      <c r="AJ525" s="178"/>
      <c r="AK525" s="178"/>
      <c r="AL525" s="178"/>
      <c r="AM525" s="178"/>
      <c r="AN525" s="178"/>
      <c r="AO525" s="178"/>
      <c r="AP525" s="178"/>
      <c r="AQ525" s="178"/>
      <c r="AR525" s="178"/>
      <c r="AS525" s="178"/>
    </row>
    <row r="526" spans="1:45" s="743" customFormat="1" ht="27" customHeight="1" x14ac:dyDescent="0.4">
      <c r="A526" s="742"/>
      <c r="B526" s="742"/>
      <c r="C526" s="742"/>
      <c r="E526" s="744" t="str">
        <f>UPPER('Talnagögn | Numerical Data'!$E$5)</f>
        <v>SÖGULEG LOSUN</v>
      </c>
      <c r="F526" s="745"/>
      <c r="G526" s="745"/>
      <c r="H526" s="745"/>
      <c r="I526" s="745"/>
      <c r="J526" s="745"/>
      <c r="K526" s="745"/>
      <c r="L526" s="745"/>
      <c r="M526" s="745"/>
      <c r="N526" s="745"/>
      <c r="O526" s="745"/>
      <c r="P526" s="745"/>
      <c r="Q526" s="745"/>
      <c r="R526" s="745"/>
      <c r="S526" s="745"/>
      <c r="T526" s="745"/>
      <c r="U526" s="745"/>
      <c r="V526" s="746"/>
      <c r="Y526" s="744" t="str">
        <f>UPPER('Talnagögn | Numerical Data'!$G$5)</f>
        <v>HISTORICAL EMISSIONS</v>
      </c>
      <c r="Z526" s="745"/>
      <c r="AA526" s="745"/>
      <c r="AB526" s="745"/>
      <c r="AC526" s="745"/>
      <c r="AD526" s="745"/>
      <c r="AE526" s="745"/>
      <c r="AF526" s="745"/>
      <c r="AG526" s="745"/>
      <c r="AH526" s="745"/>
      <c r="AI526" s="745"/>
      <c r="AJ526" s="745"/>
      <c r="AK526" s="745"/>
      <c r="AL526" s="745"/>
      <c r="AM526" s="745"/>
      <c r="AN526" s="745"/>
      <c r="AO526" s="745"/>
      <c r="AP526" s="745"/>
      <c r="AQ526" s="745"/>
      <c r="AR526" s="745"/>
      <c r="AS526" s="745"/>
    </row>
    <row r="527" spans="1:45" s="21" customFormat="1" x14ac:dyDescent="0.4">
      <c r="A527" s="27"/>
      <c r="B527" s="645"/>
      <c r="C527" s="645"/>
      <c r="D527" s="131" t="s">
        <v>44</v>
      </c>
      <c r="F527" s="178"/>
      <c r="G527" s="178"/>
      <c r="H527" s="127"/>
      <c r="I527" s="178"/>
      <c r="J527" s="178"/>
      <c r="K527" s="178"/>
      <c r="L527" s="178"/>
      <c r="M527" s="178"/>
      <c r="N527" s="178"/>
      <c r="O527" s="178"/>
      <c r="P527" s="178"/>
      <c r="Q527" s="178"/>
      <c r="R527" s="178"/>
      <c r="S527" s="178"/>
      <c r="T527" s="178"/>
      <c r="U527" s="178"/>
      <c r="V527" s="410"/>
      <c r="Z527" s="178"/>
      <c r="AA527" s="178"/>
      <c r="AB527" s="178"/>
      <c r="AC527" s="178"/>
      <c r="AD527" s="178"/>
      <c r="AE527" s="178"/>
      <c r="AF527" s="178"/>
      <c r="AG527" s="178"/>
      <c r="AH527" s="178"/>
      <c r="AI527" s="178"/>
      <c r="AJ527" s="178"/>
      <c r="AK527" s="178"/>
      <c r="AL527" s="178"/>
      <c r="AM527" s="178"/>
      <c r="AN527" s="178"/>
      <c r="AO527" s="178"/>
      <c r="AP527" s="178"/>
      <c r="AQ527" s="178"/>
      <c r="AR527" s="178"/>
      <c r="AS527" s="178"/>
    </row>
    <row r="528" spans="1:45" s="21" customFormat="1" x14ac:dyDescent="0.4">
      <c r="A528" s="27"/>
      <c r="B528" s="645"/>
      <c r="C528" s="645"/>
      <c r="D528" s="131" t="s">
        <v>44</v>
      </c>
      <c r="F528" s="178"/>
      <c r="G528" s="178"/>
      <c r="H528" s="127"/>
      <c r="I528" s="178"/>
      <c r="J528" s="178"/>
      <c r="K528" s="178"/>
      <c r="L528" s="178"/>
      <c r="M528" s="178"/>
      <c r="N528" s="420"/>
      <c r="O528" s="178"/>
      <c r="P528" s="178"/>
      <c r="Q528" s="178"/>
      <c r="R528" s="178"/>
      <c r="S528" s="178"/>
      <c r="T528" s="178"/>
      <c r="U528" s="178"/>
      <c r="V528" s="410"/>
      <c r="Z528" s="178"/>
      <c r="AA528" s="178"/>
      <c r="AB528" s="178"/>
      <c r="AC528" s="178"/>
      <c r="AD528" s="178"/>
      <c r="AE528" s="178"/>
      <c r="AF528" s="178"/>
      <c r="AG528" s="178"/>
      <c r="AH528" s="178"/>
      <c r="AI528" s="178"/>
      <c r="AJ528" s="178"/>
      <c r="AK528" s="178"/>
      <c r="AL528" s="178"/>
      <c r="AM528" s="178"/>
      <c r="AN528" s="178"/>
      <c r="AO528" s="178"/>
      <c r="AP528" s="178"/>
      <c r="AQ528" s="178"/>
      <c r="AR528" s="178"/>
      <c r="AS528" s="178"/>
    </row>
    <row r="529" spans="1:45" s="21" customFormat="1" x14ac:dyDescent="0.4">
      <c r="A529" s="27"/>
      <c r="B529" s="645"/>
      <c r="C529" s="645"/>
      <c r="D529" s="131" t="s">
        <v>44</v>
      </c>
      <c r="F529" s="178"/>
      <c r="G529" s="178"/>
      <c r="H529" s="127"/>
      <c r="I529" s="178"/>
      <c r="J529" s="178"/>
      <c r="K529" s="178"/>
      <c r="L529" s="178"/>
      <c r="M529" s="178"/>
      <c r="N529" s="178"/>
      <c r="O529" s="178"/>
      <c r="P529" s="178"/>
      <c r="Q529" s="178"/>
      <c r="R529" s="178"/>
      <c r="S529" s="178"/>
      <c r="T529" s="178"/>
      <c r="U529" s="178"/>
      <c r="V529" s="410"/>
      <c r="Z529" s="178"/>
      <c r="AA529" s="178"/>
      <c r="AB529" s="178"/>
      <c r="AC529" s="178"/>
      <c r="AD529" s="178"/>
      <c r="AE529" s="178"/>
      <c r="AF529" s="178"/>
      <c r="AG529" s="178"/>
      <c r="AH529" s="178"/>
      <c r="AI529" s="178"/>
      <c r="AJ529" s="178"/>
      <c r="AK529" s="178"/>
      <c r="AL529" s="178"/>
      <c r="AM529" s="178"/>
      <c r="AN529" s="178"/>
      <c r="AO529" s="178"/>
      <c r="AP529" s="178"/>
      <c r="AQ529" s="178"/>
      <c r="AR529" s="178"/>
      <c r="AS529" s="178"/>
    </row>
    <row r="530" spans="1:45" s="21" customFormat="1" x14ac:dyDescent="0.4">
      <c r="A530" s="27"/>
      <c r="B530" s="645"/>
      <c r="C530" s="645"/>
      <c r="D530" s="131" t="s">
        <v>44</v>
      </c>
      <c r="F530" s="178"/>
      <c r="G530" s="178"/>
      <c r="H530" s="127"/>
      <c r="I530" s="178"/>
      <c r="J530" s="178"/>
      <c r="K530" s="178"/>
      <c r="L530" s="178"/>
      <c r="M530" s="178"/>
      <c r="N530" s="178"/>
      <c r="O530" s="178"/>
      <c r="P530" s="178"/>
      <c r="Q530" s="178"/>
      <c r="R530" s="178"/>
      <c r="S530" s="178"/>
      <c r="T530" s="178"/>
      <c r="U530" s="178"/>
      <c r="V530" s="410"/>
      <c r="Z530" s="178"/>
      <c r="AA530" s="178"/>
      <c r="AB530" s="178"/>
      <c r="AC530" s="178"/>
      <c r="AD530" s="178"/>
      <c r="AE530" s="178"/>
      <c r="AF530" s="178"/>
      <c r="AG530" s="178"/>
      <c r="AH530" s="178"/>
      <c r="AI530" s="178"/>
      <c r="AJ530" s="178"/>
      <c r="AK530" s="178"/>
      <c r="AL530" s="178"/>
      <c r="AM530" s="178"/>
      <c r="AN530" s="178"/>
      <c r="AO530" s="178"/>
      <c r="AP530" s="178"/>
      <c r="AQ530" s="178"/>
      <c r="AR530" s="178"/>
      <c r="AS530" s="178"/>
    </row>
    <row r="531" spans="1:45" s="21" customFormat="1" x14ac:dyDescent="0.4">
      <c r="A531" s="27"/>
      <c r="B531" s="645"/>
      <c r="C531" s="645"/>
      <c r="D531" s="131" t="s">
        <v>44</v>
      </c>
      <c r="F531" s="178"/>
      <c r="G531" s="178"/>
      <c r="H531" s="127"/>
      <c r="I531" s="178"/>
      <c r="J531" s="178"/>
      <c r="K531" s="178"/>
      <c r="L531" s="178"/>
      <c r="M531" s="178"/>
      <c r="N531" s="178"/>
      <c r="O531" s="178"/>
      <c r="P531" s="178"/>
      <c r="Q531" s="178"/>
      <c r="R531" s="178"/>
      <c r="S531" s="178"/>
      <c r="T531" s="178"/>
      <c r="U531" s="178"/>
      <c r="V531" s="410"/>
      <c r="Z531" s="178"/>
      <c r="AA531" s="178"/>
      <c r="AB531" s="178"/>
      <c r="AC531" s="178"/>
      <c r="AD531" s="178"/>
      <c r="AE531" s="178"/>
      <c r="AF531" s="178"/>
      <c r="AG531" s="178"/>
      <c r="AH531" s="178"/>
      <c r="AI531" s="178"/>
      <c r="AJ531" s="178"/>
      <c r="AK531" s="178"/>
      <c r="AL531" s="178"/>
      <c r="AM531" s="178"/>
      <c r="AN531" s="178"/>
      <c r="AO531" s="178"/>
      <c r="AP531" s="178"/>
      <c r="AQ531" s="178"/>
      <c r="AR531" s="178"/>
      <c r="AS531" s="178"/>
    </row>
    <row r="532" spans="1:45" s="21" customFormat="1" x14ac:dyDescent="0.4">
      <c r="A532" s="27"/>
      <c r="B532" s="645"/>
      <c r="C532" s="645"/>
      <c r="D532" s="131" t="s">
        <v>44</v>
      </c>
      <c r="F532" s="178"/>
      <c r="G532" s="178"/>
      <c r="H532" s="127"/>
      <c r="I532" s="178"/>
      <c r="J532" s="178"/>
      <c r="K532" s="178"/>
      <c r="L532" s="178"/>
      <c r="M532" s="178"/>
      <c r="N532" s="178"/>
      <c r="O532" s="178"/>
      <c r="P532" s="178"/>
      <c r="Q532" s="178"/>
      <c r="R532" s="178"/>
      <c r="S532" s="178"/>
      <c r="T532" s="178"/>
      <c r="U532" s="178"/>
      <c r="V532" s="410"/>
      <c r="Z532" s="178"/>
      <c r="AA532" s="178"/>
      <c r="AB532" s="178"/>
      <c r="AC532" s="178"/>
      <c r="AD532" s="178"/>
      <c r="AE532" s="178"/>
      <c r="AF532" s="178"/>
      <c r="AG532" s="178"/>
      <c r="AH532" s="178"/>
      <c r="AI532" s="178"/>
      <c r="AJ532" s="178"/>
      <c r="AK532" s="178"/>
      <c r="AL532" s="178"/>
      <c r="AM532" s="178"/>
      <c r="AN532" s="178"/>
      <c r="AO532" s="178"/>
      <c r="AP532" s="178"/>
      <c r="AQ532" s="178"/>
      <c r="AR532" s="178"/>
      <c r="AS532" s="178"/>
    </row>
    <row r="533" spans="1:45" s="21" customFormat="1" x14ac:dyDescent="0.4">
      <c r="A533" s="27"/>
      <c r="B533" s="645"/>
      <c r="C533" s="645"/>
      <c r="D533" s="131" t="s">
        <v>44</v>
      </c>
      <c r="F533" s="178"/>
      <c r="G533" s="178"/>
      <c r="H533" s="127"/>
      <c r="I533" s="178"/>
      <c r="J533" s="178"/>
      <c r="K533" s="178"/>
      <c r="L533" s="178"/>
      <c r="M533" s="178"/>
      <c r="N533" s="178"/>
      <c r="O533" s="178"/>
      <c r="P533" s="178"/>
      <c r="Q533" s="178"/>
      <c r="R533" s="178"/>
      <c r="S533" s="178"/>
      <c r="T533" s="178"/>
      <c r="U533" s="178"/>
      <c r="V533" s="410"/>
      <c r="Z533" s="178"/>
      <c r="AA533" s="178"/>
      <c r="AB533" s="178"/>
      <c r="AC533" s="178"/>
      <c r="AD533" s="178"/>
      <c r="AE533" s="178"/>
      <c r="AF533" s="178"/>
      <c r="AG533" s="178"/>
      <c r="AH533" s="178"/>
      <c r="AI533" s="178"/>
      <c r="AJ533" s="178"/>
      <c r="AK533" s="178"/>
      <c r="AL533" s="178"/>
      <c r="AM533" s="178"/>
      <c r="AN533" s="178"/>
      <c r="AO533" s="178"/>
      <c r="AP533" s="178"/>
      <c r="AQ533" s="178"/>
      <c r="AR533" s="178"/>
      <c r="AS533" s="178"/>
    </row>
    <row r="534" spans="1:45" s="21" customFormat="1" x14ac:dyDescent="0.4">
      <c r="A534" s="27"/>
      <c r="B534" s="645"/>
      <c r="C534" s="645"/>
      <c r="D534" s="131" t="s">
        <v>44</v>
      </c>
      <c r="F534" s="178"/>
      <c r="G534" s="178"/>
      <c r="H534" s="127"/>
      <c r="I534" s="178"/>
      <c r="J534" s="178"/>
      <c r="K534" s="178"/>
      <c r="L534" s="178"/>
      <c r="M534" s="178"/>
      <c r="N534" s="178"/>
      <c r="O534" s="178"/>
      <c r="P534" s="178"/>
      <c r="Q534" s="178"/>
      <c r="R534" s="178"/>
      <c r="S534" s="178"/>
      <c r="T534" s="178"/>
      <c r="U534" s="178"/>
      <c r="V534" s="410"/>
      <c r="Z534" s="178"/>
      <c r="AA534" s="178"/>
      <c r="AB534" s="178"/>
      <c r="AC534" s="178"/>
      <c r="AD534" s="178"/>
      <c r="AE534" s="178"/>
      <c r="AF534" s="178"/>
      <c r="AG534" s="178"/>
      <c r="AH534" s="178"/>
      <c r="AI534" s="178"/>
      <c r="AJ534" s="178"/>
      <c r="AK534" s="178"/>
      <c r="AL534" s="178"/>
      <c r="AM534" s="178"/>
      <c r="AN534" s="178"/>
      <c r="AO534" s="178"/>
      <c r="AP534" s="178"/>
      <c r="AQ534" s="178"/>
      <c r="AR534" s="178"/>
      <c r="AS534" s="178"/>
    </row>
    <row r="535" spans="1:45" s="21" customFormat="1" x14ac:dyDescent="0.4">
      <c r="A535" s="27"/>
      <c r="B535" s="645"/>
      <c r="C535" s="645"/>
      <c r="D535" s="131" t="s">
        <v>44</v>
      </c>
      <c r="F535" s="178"/>
      <c r="G535" s="178"/>
      <c r="H535" s="127"/>
      <c r="I535" s="178"/>
      <c r="J535" s="178"/>
      <c r="K535" s="178"/>
      <c r="L535" s="178"/>
      <c r="M535" s="178"/>
      <c r="N535" s="178"/>
      <c r="O535" s="178"/>
      <c r="P535" s="178"/>
      <c r="Q535" s="178"/>
      <c r="R535" s="178"/>
      <c r="S535" s="178"/>
      <c r="T535" s="178"/>
      <c r="U535" s="178"/>
      <c r="V535" s="410"/>
      <c r="Z535" s="178"/>
      <c r="AA535" s="178"/>
      <c r="AB535" s="178"/>
      <c r="AC535" s="178"/>
      <c r="AD535" s="178"/>
      <c r="AE535" s="178"/>
      <c r="AF535" s="178"/>
      <c r="AG535" s="178"/>
      <c r="AH535" s="178"/>
      <c r="AI535" s="178"/>
      <c r="AJ535" s="178"/>
      <c r="AK535" s="178"/>
      <c r="AL535" s="178"/>
      <c r="AM535" s="178"/>
      <c r="AN535" s="178"/>
      <c r="AO535" s="178"/>
      <c r="AP535" s="178"/>
      <c r="AQ535" s="178"/>
      <c r="AR535" s="178"/>
      <c r="AS535" s="178"/>
    </row>
    <row r="536" spans="1:45" s="21" customFormat="1" x14ac:dyDescent="0.4">
      <c r="A536" s="27"/>
      <c r="B536" s="645"/>
      <c r="C536" s="645"/>
      <c r="D536" s="131" t="s">
        <v>44</v>
      </c>
      <c r="F536" s="178"/>
      <c r="G536" s="178"/>
      <c r="H536" s="127"/>
      <c r="I536" s="178"/>
      <c r="J536" s="178"/>
      <c r="K536" s="178"/>
      <c r="L536" s="178"/>
      <c r="M536" s="178"/>
      <c r="N536" s="178"/>
      <c r="O536" s="178"/>
      <c r="P536" s="178"/>
      <c r="Q536" s="178"/>
      <c r="R536" s="178"/>
      <c r="S536" s="178"/>
      <c r="T536" s="178"/>
      <c r="U536" s="178"/>
      <c r="V536" s="410"/>
      <c r="Z536" s="178"/>
      <c r="AA536" s="178"/>
      <c r="AB536" s="178"/>
      <c r="AC536" s="178"/>
      <c r="AD536" s="178"/>
      <c r="AE536" s="178"/>
      <c r="AF536" s="178"/>
      <c r="AG536" s="178"/>
      <c r="AH536" s="178"/>
      <c r="AI536" s="178"/>
      <c r="AJ536" s="178"/>
      <c r="AK536" s="178"/>
      <c r="AL536" s="178"/>
      <c r="AM536" s="178"/>
      <c r="AN536" s="178"/>
      <c r="AO536" s="178"/>
      <c r="AP536" s="178"/>
      <c r="AQ536" s="178"/>
      <c r="AR536" s="178"/>
      <c r="AS536" s="178"/>
    </row>
    <row r="537" spans="1:45" s="21" customFormat="1" x14ac:dyDescent="0.4">
      <c r="A537" s="27"/>
      <c r="B537" s="645"/>
      <c r="C537" s="645"/>
      <c r="D537" s="131" t="s">
        <v>44</v>
      </c>
      <c r="F537" s="178"/>
      <c r="G537" s="178"/>
      <c r="H537" s="127"/>
      <c r="I537" s="178"/>
      <c r="J537" s="178"/>
      <c r="K537" s="178"/>
      <c r="L537" s="178"/>
      <c r="M537" s="178"/>
      <c r="N537" s="178"/>
      <c r="O537" s="178"/>
      <c r="P537" s="178"/>
      <c r="Q537" s="178"/>
      <c r="R537" s="178"/>
      <c r="S537" s="178"/>
      <c r="T537" s="178"/>
      <c r="U537" s="178"/>
      <c r="V537" s="410"/>
      <c r="Z537" s="178"/>
      <c r="AA537" s="178"/>
      <c r="AB537" s="178"/>
      <c r="AC537" s="178"/>
      <c r="AD537" s="178"/>
      <c r="AE537" s="178"/>
      <c r="AF537" s="178"/>
      <c r="AG537" s="178"/>
      <c r="AH537" s="178"/>
      <c r="AI537" s="178"/>
      <c r="AJ537" s="178"/>
      <c r="AK537" s="178"/>
      <c r="AL537" s="178"/>
      <c r="AM537" s="178"/>
      <c r="AN537" s="178"/>
      <c r="AO537" s="178"/>
      <c r="AP537" s="178"/>
      <c r="AQ537" s="178"/>
      <c r="AR537" s="178"/>
      <c r="AS537" s="178"/>
    </row>
    <row r="538" spans="1:45" s="21" customFormat="1" x14ac:dyDescent="0.4">
      <c r="A538" s="27"/>
      <c r="B538" s="645"/>
      <c r="C538" s="645"/>
      <c r="D538" s="131" t="s">
        <v>44</v>
      </c>
      <c r="F538" s="178"/>
      <c r="G538" s="178"/>
      <c r="H538" s="127"/>
      <c r="I538" s="178"/>
      <c r="J538" s="178"/>
      <c r="K538" s="178"/>
      <c r="L538" s="178"/>
      <c r="M538" s="178"/>
      <c r="N538" s="178"/>
      <c r="O538" s="178"/>
      <c r="P538" s="178"/>
      <c r="Q538" s="178"/>
      <c r="R538" s="178"/>
      <c r="S538" s="178"/>
      <c r="T538" s="178"/>
      <c r="U538" s="178"/>
      <c r="V538" s="410"/>
      <c r="Z538" s="178"/>
      <c r="AA538" s="178"/>
      <c r="AB538" s="178"/>
      <c r="AC538" s="178"/>
      <c r="AD538" s="178"/>
      <c r="AE538" s="178"/>
      <c r="AF538" s="178"/>
      <c r="AG538" s="178"/>
      <c r="AH538" s="178"/>
      <c r="AI538" s="178"/>
      <c r="AJ538" s="178"/>
      <c r="AK538" s="178"/>
      <c r="AL538" s="178"/>
      <c r="AM538" s="178"/>
      <c r="AN538" s="178"/>
      <c r="AO538" s="178"/>
      <c r="AP538" s="178"/>
      <c r="AQ538" s="178"/>
      <c r="AR538" s="178"/>
      <c r="AS538" s="178"/>
    </row>
    <row r="539" spans="1:45" s="21" customFormat="1" ht="15" customHeight="1" x14ac:dyDescent="0.4">
      <c r="A539" s="27"/>
      <c r="B539" s="645"/>
      <c r="C539" s="645"/>
      <c r="D539" s="131" t="s">
        <v>44</v>
      </c>
      <c r="F539" s="178"/>
      <c r="G539" s="178"/>
      <c r="H539" s="127"/>
      <c r="I539" s="178"/>
      <c r="J539" s="178"/>
      <c r="K539" s="178"/>
      <c r="L539" s="178"/>
      <c r="M539" s="178"/>
      <c r="N539" s="178"/>
      <c r="O539" s="178"/>
      <c r="P539" s="178"/>
      <c r="Q539" s="178"/>
      <c r="R539" s="178"/>
      <c r="S539" s="178"/>
      <c r="T539" s="178"/>
      <c r="U539" s="178"/>
      <c r="V539" s="410"/>
      <c r="Z539" s="178"/>
      <c r="AA539" s="178"/>
      <c r="AB539" s="178"/>
      <c r="AC539" s="178"/>
      <c r="AD539" s="178"/>
      <c r="AE539" s="178"/>
      <c r="AF539" s="178"/>
      <c r="AG539" s="178"/>
      <c r="AH539" s="178"/>
      <c r="AI539" s="178"/>
      <c r="AJ539" s="178"/>
      <c r="AK539" s="178"/>
      <c r="AL539" s="178"/>
      <c r="AM539" s="178"/>
      <c r="AN539" s="178"/>
      <c r="AO539" s="178"/>
      <c r="AP539" s="178"/>
      <c r="AQ539" s="178"/>
      <c r="AR539" s="178"/>
      <c r="AS539" s="178"/>
    </row>
    <row r="540" spans="1:45" s="21" customFormat="1" ht="15" customHeight="1" x14ac:dyDescent="0.4">
      <c r="A540" s="27"/>
      <c r="B540" s="645"/>
      <c r="C540" s="645"/>
      <c r="D540" s="131" t="s">
        <v>44</v>
      </c>
      <c r="F540" s="178"/>
      <c r="G540" s="178"/>
      <c r="H540" s="127"/>
      <c r="I540" s="178"/>
      <c r="J540" s="178"/>
      <c r="K540" s="178"/>
      <c r="L540" s="178"/>
      <c r="M540" s="178"/>
      <c r="N540" s="178"/>
      <c r="O540" s="178"/>
      <c r="P540" s="178"/>
      <c r="Q540" s="178"/>
      <c r="R540" s="178"/>
      <c r="S540" s="178"/>
      <c r="T540" s="178"/>
      <c r="U540" s="178"/>
      <c r="V540" s="410"/>
      <c r="Z540" s="178"/>
      <c r="AA540" s="178"/>
      <c r="AB540" s="178"/>
      <c r="AC540" s="178"/>
      <c r="AD540" s="178"/>
      <c r="AE540" s="178"/>
      <c r="AF540" s="178"/>
      <c r="AG540" s="178"/>
      <c r="AH540" s="178"/>
      <c r="AI540" s="178"/>
      <c r="AJ540" s="178"/>
      <c r="AK540" s="178"/>
      <c r="AL540" s="178"/>
      <c r="AM540" s="178"/>
      <c r="AN540" s="178"/>
      <c r="AO540" s="178"/>
      <c r="AP540" s="178"/>
      <c r="AQ540" s="178"/>
      <c r="AR540" s="178"/>
      <c r="AS540" s="178"/>
    </row>
    <row r="541" spans="1:45" s="21" customFormat="1" ht="15" customHeight="1" x14ac:dyDescent="0.4">
      <c r="A541" s="27"/>
      <c r="B541" s="645"/>
      <c r="C541" s="645"/>
      <c r="D541" s="131" t="s">
        <v>44</v>
      </c>
      <c r="F541" s="178"/>
      <c r="G541" s="178"/>
      <c r="H541" s="127"/>
      <c r="I541" s="178"/>
      <c r="J541" s="178"/>
      <c r="K541" s="178"/>
      <c r="L541" s="178"/>
      <c r="M541" s="178"/>
      <c r="N541" s="178"/>
      <c r="O541" s="178"/>
      <c r="P541" s="178"/>
      <c r="Q541" s="178"/>
      <c r="R541" s="178"/>
      <c r="S541" s="178"/>
      <c r="T541" s="178"/>
      <c r="U541" s="178"/>
      <c r="V541" s="410"/>
      <c r="Z541" s="178"/>
      <c r="AA541" s="178"/>
      <c r="AB541" s="178"/>
      <c r="AC541" s="178"/>
      <c r="AD541" s="178"/>
      <c r="AE541" s="178"/>
      <c r="AF541" s="178"/>
      <c r="AG541" s="178"/>
      <c r="AH541" s="178"/>
      <c r="AI541" s="178"/>
      <c r="AJ541" s="178"/>
      <c r="AK541" s="178"/>
      <c r="AL541" s="178"/>
      <c r="AM541" s="178"/>
      <c r="AN541" s="178"/>
      <c r="AO541" s="178"/>
      <c r="AP541" s="178"/>
      <c r="AQ541" s="178"/>
      <c r="AR541" s="178"/>
      <c r="AS541" s="178"/>
    </row>
    <row r="542" spans="1:45" s="21" customFormat="1" x14ac:dyDescent="0.4">
      <c r="A542" s="27"/>
      <c r="B542" s="645"/>
      <c r="C542" s="645"/>
      <c r="D542" s="131" t="s">
        <v>44</v>
      </c>
      <c r="F542" s="178"/>
      <c r="G542" s="178"/>
      <c r="H542" s="127"/>
      <c r="I542" s="178"/>
      <c r="J542" s="178"/>
      <c r="K542" s="178"/>
      <c r="L542" s="178"/>
      <c r="M542" s="178"/>
      <c r="N542" s="178"/>
      <c r="O542" s="178"/>
      <c r="P542" s="178"/>
      <c r="Q542" s="178"/>
      <c r="R542" s="178"/>
      <c r="S542" s="178"/>
      <c r="T542" s="178"/>
      <c r="U542" s="178"/>
      <c r="V542" s="410"/>
      <c r="Z542" s="178"/>
      <c r="AA542" s="178"/>
      <c r="AB542" s="178"/>
      <c r="AC542" s="178"/>
      <c r="AD542" s="178"/>
      <c r="AE542" s="178"/>
      <c r="AF542" s="178"/>
      <c r="AG542" s="178"/>
      <c r="AH542" s="178"/>
      <c r="AI542" s="178"/>
      <c r="AJ542" s="178"/>
      <c r="AK542" s="178"/>
      <c r="AL542" s="178"/>
      <c r="AM542" s="178"/>
      <c r="AN542" s="178"/>
      <c r="AO542" s="178"/>
      <c r="AP542" s="178"/>
      <c r="AQ542" s="178"/>
      <c r="AR542" s="178"/>
      <c r="AS542" s="178"/>
    </row>
    <row r="543" spans="1:45" s="21" customFormat="1" x14ac:dyDescent="0.4">
      <c r="A543" s="27"/>
      <c r="B543" s="645"/>
      <c r="C543" s="645"/>
      <c r="D543" s="131" t="s">
        <v>44</v>
      </c>
      <c r="F543" s="178"/>
      <c r="G543" s="178"/>
      <c r="H543" s="127"/>
      <c r="I543" s="178"/>
      <c r="J543" s="178"/>
      <c r="K543" s="178"/>
      <c r="L543" s="178"/>
      <c r="M543" s="178"/>
      <c r="N543" s="178"/>
      <c r="O543" s="178"/>
      <c r="P543" s="178"/>
      <c r="Q543" s="178"/>
      <c r="R543" s="178"/>
      <c r="S543" s="178"/>
      <c r="T543" s="178"/>
      <c r="U543" s="178"/>
      <c r="V543" s="410"/>
      <c r="Z543" s="178"/>
      <c r="AA543" s="178"/>
      <c r="AB543" s="178"/>
      <c r="AC543" s="178"/>
      <c r="AD543" s="178"/>
      <c r="AE543" s="178"/>
      <c r="AF543" s="178"/>
      <c r="AG543" s="178"/>
      <c r="AH543" s="178"/>
      <c r="AI543" s="178"/>
      <c r="AJ543" s="178"/>
      <c r="AK543" s="178"/>
      <c r="AL543" s="178"/>
      <c r="AM543" s="178"/>
      <c r="AN543" s="178"/>
      <c r="AO543" s="178"/>
      <c r="AP543" s="178"/>
      <c r="AQ543" s="178"/>
      <c r="AR543" s="178"/>
      <c r="AS543" s="178"/>
    </row>
    <row r="544" spans="1:45" s="21" customFormat="1" x14ac:dyDescent="0.4">
      <c r="A544" s="27"/>
      <c r="B544" s="645"/>
      <c r="C544" s="645"/>
      <c r="D544" s="131" t="s">
        <v>44</v>
      </c>
      <c r="F544" s="178"/>
      <c r="G544" s="178"/>
      <c r="H544" s="127"/>
      <c r="I544" s="178"/>
      <c r="J544" s="178"/>
      <c r="K544" s="178"/>
      <c r="L544" s="178"/>
      <c r="M544" s="178"/>
      <c r="N544" s="178"/>
      <c r="O544" s="178"/>
      <c r="P544" s="178"/>
      <c r="Q544" s="178"/>
      <c r="R544" s="178"/>
      <c r="S544" s="178"/>
      <c r="T544" s="178"/>
      <c r="U544" s="178"/>
      <c r="V544" s="410"/>
      <c r="Z544" s="178"/>
      <c r="AA544" s="178"/>
      <c r="AB544" s="178"/>
      <c r="AC544" s="178"/>
      <c r="AD544" s="178"/>
      <c r="AE544" s="178"/>
      <c r="AF544" s="178"/>
      <c r="AG544" s="178"/>
      <c r="AH544" s="178"/>
      <c r="AI544" s="178"/>
      <c r="AJ544" s="178"/>
      <c r="AK544" s="178"/>
      <c r="AL544" s="178"/>
      <c r="AM544" s="178"/>
      <c r="AN544" s="178"/>
      <c r="AO544" s="178"/>
      <c r="AP544" s="178"/>
      <c r="AQ544" s="178"/>
      <c r="AR544" s="178"/>
      <c r="AS544" s="178"/>
    </row>
    <row r="545" spans="1:45" s="21" customFormat="1" x14ac:dyDescent="0.4">
      <c r="A545" s="27"/>
      <c r="B545" s="645"/>
      <c r="C545" s="645"/>
      <c r="D545" s="131" t="s">
        <v>44</v>
      </c>
      <c r="F545" s="178"/>
      <c r="G545" s="178"/>
      <c r="H545" s="127"/>
      <c r="I545" s="178"/>
      <c r="J545" s="178"/>
      <c r="K545" s="178"/>
      <c r="L545" s="178"/>
      <c r="M545" s="178"/>
      <c r="N545" s="178"/>
      <c r="O545" s="178"/>
      <c r="P545" s="178"/>
      <c r="Q545" s="178"/>
      <c r="R545" s="178"/>
      <c r="S545" s="178"/>
      <c r="T545" s="178"/>
      <c r="U545" s="178"/>
      <c r="V545" s="410"/>
      <c r="Z545" s="178"/>
      <c r="AA545" s="178"/>
      <c r="AB545" s="178"/>
      <c r="AC545" s="178"/>
      <c r="AD545" s="178"/>
      <c r="AE545" s="178"/>
      <c r="AF545" s="178"/>
      <c r="AG545" s="178"/>
      <c r="AH545" s="178"/>
      <c r="AI545" s="178"/>
      <c r="AJ545" s="178"/>
      <c r="AK545" s="178"/>
      <c r="AL545" s="178"/>
      <c r="AM545" s="178"/>
      <c r="AN545" s="178"/>
      <c r="AO545" s="178"/>
      <c r="AP545" s="178"/>
      <c r="AQ545" s="178"/>
      <c r="AR545" s="178"/>
      <c r="AS545" s="178"/>
    </row>
    <row r="546" spans="1:45" s="21" customFormat="1" x14ac:dyDescent="0.4">
      <c r="A546" s="27"/>
      <c r="B546" s="645"/>
      <c r="C546" s="645"/>
      <c r="D546" s="131" t="s">
        <v>44</v>
      </c>
      <c r="F546" s="178"/>
      <c r="G546" s="178"/>
      <c r="H546" s="127"/>
      <c r="I546" s="178"/>
      <c r="J546" s="178"/>
      <c r="K546" s="178"/>
      <c r="L546" s="178"/>
      <c r="M546" s="178"/>
      <c r="N546" s="178"/>
      <c r="O546" s="178"/>
      <c r="P546" s="178"/>
      <c r="Q546" s="178"/>
      <c r="R546" s="178"/>
      <c r="S546" s="178"/>
      <c r="T546" s="178"/>
      <c r="U546" s="178"/>
      <c r="V546" s="410"/>
      <c r="Z546" s="178"/>
      <c r="AA546" s="178"/>
      <c r="AB546" s="178"/>
      <c r="AC546" s="178"/>
      <c r="AD546" s="178"/>
      <c r="AE546" s="178"/>
      <c r="AF546" s="178"/>
      <c r="AG546" s="178"/>
      <c r="AH546" s="178"/>
      <c r="AI546" s="178"/>
      <c r="AJ546" s="178"/>
      <c r="AK546" s="178"/>
      <c r="AL546" s="178"/>
      <c r="AM546" s="178"/>
      <c r="AN546" s="178"/>
      <c r="AO546" s="178"/>
      <c r="AP546" s="178"/>
      <c r="AQ546" s="178"/>
      <c r="AR546" s="178"/>
      <c r="AS546" s="178"/>
    </row>
    <row r="547" spans="1:45" s="21" customFormat="1" x14ac:dyDescent="0.4">
      <c r="A547" s="27"/>
      <c r="B547" s="645"/>
      <c r="C547" s="645"/>
      <c r="D547" s="131" t="s">
        <v>44</v>
      </c>
      <c r="F547" s="178"/>
      <c r="G547" s="178"/>
      <c r="H547" s="127"/>
      <c r="I547" s="178"/>
      <c r="J547" s="178"/>
      <c r="K547" s="178"/>
      <c r="L547" s="178"/>
      <c r="M547" s="178"/>
      <c r="N547" s="178"/>
      <c r="O547" s="178"/>
      <c r="P547" s="178"/>
      <c r="Q547" s="178"/>
      <c r="R547" s="178"/>
      <c r="S547" s="178"/>
      <c r="T547" s="178"/>
      <c r="U547" s="178"/>
      <c r="V547" s="410"/>
      <c r="Z547" s="178"/>
      <c r="AA547" s="178"/>
      <c r="AB547" s="178"/>
      <c r="AC547" s="178"/>
      <c r="AD547" s="178"/>
      <c r="AE547" s="178"/>
      <c r="AF547" s="178"/>
      <c r="AG547" s="178"/>
      <c r="AH547" s="178"/>
      <c r="AI547" s="178"/>
      <c r="AJ547" s="178"/>
      <c r="AK547" s="178"/>
      <c r="AL547" s="178"/>
      <c r="AM547" s="178"/>
      <c r="AN547" s="178"/>
      <c r="AO547" s="178"/>
      <c r="AP547" s="178"/>
      <c r="AQ547" s="178"/>
      <c r="AR547" s="178"/>
      <c r="AS547" s="178"/>
    </row>
    <row r="548" spans="1:45" s="21" customFormat="1" x14ac:dyDescent="0.4">
      <c r="A548" s="27"/>
      <c r="B548" s="645"/>
      <c r="C548" s="645"/>
      <c r="D548" s="131" t="s">
        <v>44</v>
      </c>
      <c r="F548" s="178"/>
      <c r="G548" s="178"/>
      <c r="H548" s="127"/>
      <c r="I548" s="178"/>
      <c r="J548" s="178"/>
      <c r="K548" s="178"/>
      <c r="L548" s="178"/>
      <c r="M548" s="178"/>
      <c r="N548" s="178"/>
      <c r="O548" s="178"/>
      <c r="P548" s="178"/>
      <c r="Q548" s="178"/>
      <c r="R548" s="178"/>
      <c r="S548" s="178"/>
      <c r="T548" s="178"/>
      <c r="U548" s="178"/>
      <c r="V548" s="410"/>
      <c r="Z548" s="178"/>
      <c r="AA548" s="178"/>
      <c r="AB548" s="178"/>
      <c r="AC548" s="178"/>
      <c r="AD548" s="178"/>
      <c r="AE548" s="178"/>
      <c r="AF548" s="178"/>
      <c r="AG548" s="178"/>
      <c r="AH548" s="178"/>
      <c r="AI548" s="178"/>
      <c r="AJ548" s="178"/>
      <c r="AK548" s="178"/>
      <c r="AL548" s="178"/>
      <c r="AM548" s="178"/>
      <c r="AN548" s="178"/>
      <c r="AO548" s="178"/>
      <c r="AP548" s="178"/>
      <c r="AQ548" s="178"/>
      <c r="AR548" s="178"/>
      <c r="AS548" s="178"/>
    </row>
    <row r="549" spans="1:45" s="21" customFormat="1" x14ac:dyDescent="0.4">
      <c r="A549" s="27"/>
      <c r="B549" s="645"/>
      <c r="C549" s="645"/>
      <c r="D549" s="131" t="s">
        <v>44</v>
      </c>
      <c r="F549" s="178"/>
      <c r="G549" s="178"/>
      <c r="H549" s="127"/>
      <c r="I549" s="178"/>
      <c r="J549" s="178"/>
      <c r="K549" s="178"/>
      <c r="L549" s="178"/>
      <c r="M549" s="178"/>
      <c r="N549" s="178"/>
      <c r="O549" s="178"/>
      <c r="P549" s="178"/>
      <c r="Q549" s="178"/>
      <c r="R549" s="178"/>
      <c r="S549" s="178"/>
      <c r="T549" s="178"/>
      <c r="U549" s="178"/>
      <c r="V549" s="410"/>
      <c r="Z549" s="178"/>
      <c r="AA549" s="178"/>
      <c r="AB549" s="178"/>
      <c r="AC549" s="178"/>
      <c r="AD549" s="178"/>
      <c r="AE549" s="178"/>
      <c r="AF549" s="178"/>
      <c r="AG549" s="178"/>
      <c r="AH549" s="178"/>
      <c r="AI549" s="178"/>
      <c r="AJ549" s="178"/>
      <c r="AK549" s="178"/>
      <c r="AL549" s="178"/>
      <c r="AM549" s="178"/>
      <c r="AN549" s="178"/>
      <c r="AO549" s="178"/>
      <c r="AP549" s="178"/>
      <c r="AQ549" s="178"/>
      <c r="AR549" s="178"/>
      <c r="AS549" s="178"/>
    </row>
    <row r="550" spans="1:45" s="21" customFormat="1" x14ac:dyDescent="0.4">
      <c r="A550" s="27"/>
      <c r="B550" s="645"/>
      <c r="C550" s="645"/>
      <c r="D550" s="131"/>
      <c r="F550" s="178"/>
      <c r="G550" s="178"/>
      <c r="H550" s="127"/>
      <c r="I550" s="178"/>
      <c r="J550" s="178"/>
      <c r="K550" s="178"/>
      <c r="L550" s="178"/>
      <c r="M550" s="178"/>
      <c r="N550" s="178"/>
      <c r="O550" s="178"/>
      <c r="P550" s="178"/>
      <c r="Q550" s="178"/>
      <c r="R550" s="178"/>
      <c r="S550" s="178"/>
      <c r="T550" s="178"/>
      <c r="U550" s="178"/>
      <c r="V550" s="410"/>
      <c r="Z550" s="178"/>
      <c r="AA550" s="178"/>
      <c r="AB550" s="178"/>
      <c r="AC550" s="178"/>
      <c r="AD550" s="178"/>
      <c r="AE550" s="178"/>
      <c r="AF550" s="178"/>
      <c r="AG550" s="178"/>
      <c r="AH550" s="178"/>
      <c r="AI550" s="178"/>
      <c r="AJ550" s="178"/>
      <c r="AK550" s="178"/>
      <c r="AL550" s="178"/>
      <c r="AM550" s="178"/>
      <c r="AN550" s="178"/>
      <c r="AO550" s="178"/>
      <c r="AP550" s="178"/>
      <c r="AQ550" s="178"/>
      <c r="AR550" s="178"/>
      <c r="AS550" s="178"/>
    </row>
    <row r="551" spans="1:45" s="21" customFormat="1" x14ac:dyDescent="0.4">
      <c r="A551" s="27"/>
      <c r="B551" s="645"/>
      <c r="C551" s="645"/>
      <c r="D551" s="131"/>
      <c r="F551" s="178"/>
      <c r="G551" s="178"/>
      <c r="H551" s="127"/>
      <c r="I551" s="178"/>
      <c r="J551" s="178"/>
      <c r="K551" s="178"/>
      <c r="L551" s="178"/>
      <c r="M551" s="178"/>
      <c r="N551" s="178"/>
      <c r="O551" s="178"/>
      <c r="P551" s="178"/>
      <c r="Q551" s="178"/>
      <c r="R551" s="178"/>
      <c r="S551" s="178"/>
      <c r="T551" s="178"/>
      <c r="U551" s="178"/>
      <c r="V551" s="410"/>
      <c r="Z551" s="178"/>
      <c r="AA551" s="178"/>
      <c r="AB551" s="178"/>
      <c r="AC551" s="178"/>
      <c r="AD551" s="178"/>
      <c r="AE551" s="178"/>
      <c r="AF551" s="178"/>
      <c r="AG551" s="178"/>
      <c r="AH551" s="178"/>
      <c r="AI551" s="178"/>
      <c r="AJ551" s="178"/>
      <c r="AK551" s="178"/>
      <c r="AL551" s="178"/>
      <c r="AM551" s="178"/>
      <c r="AN551" s="178"/>
      <c r="AO551" s="178"/>
      <c r="AP551" s="178"/>
      <c r="AQ551" s="178"/>
      <c r="AR551" s="178"/>
      <c r="AS551" s="178"/>
    </row>
    <row r="552" spans="1:45" s="21" customFormat="1" x14ac:dyDescent="0.4">
      <c r="A552" s="27"/>
      <c r="B552" s="645"/>
      <c r="C552" s="645"/>
      <c r="D552" s="131"/>
      <c r="F552" s="178"/>
      <c r="G552" s="178"/>
      <c r="H552" s="127"/>
      <c r="I552" s="178"/>
      <c r="J552" s="178"/>
      <c r="K552" s="178"/>
      <c r="L552" s="178"/>
      <c r="M552" s="178"/>
      <c r="N552" s="178"/>
      <c r="O552" s="178"/>
      <c r="P552" s="178"/>
      <c r="Q552" s="178"/>
      <c r="R552" s="178"/>
      <c r="S552" s="178"/>
      <c r="T552" s="178"/>
      <c r="U552" s="178"/>
      <c r="V552" s="410"/>
      <c r="Z552" s="178"/>
      <c r="AA552" s="178"/>
      <c r="AB552" s="178"/>
      <c r="AC552" s="178"/>
      <c r="AD552" s="178"/>
      <c r="AE552" s="178"/>
      <c r="AF552" s="178"/>
      <c r="AG552" s="178"/>
      <c r="AH552" s="178"/>
      <c r="AI552" s="178"/>
      <c r="AJ552" s="178"/>
      <c r="AK552" s="178"/>
      <c r="AL552" s="178"/>
      <c r="AM552" s="178"/>
      <c r="AN552" s="178"/>
      <c r="AO552" s="178"/>
      <c r="AP552" s="178"/>
      <c r="AQ552" s="178"/>
      <c r="AR552" s="178"/>
      <c r="AS552" s="178"/>
    </row>
    <row r="553" spans="1:45" s="21" customFormat="1" x14ac:dyDescent="0.4">
      <c r="A553" s="27"/>
      <c r="B553" s="645"/>
      <c r="C553" s="645"/>
      <c r="D553" s="131"/>
      <c r="F553" s="178"/>
      <c r="G553" s="178"/>
      <c r="H553" s="127"/>
      <c r="I553" s="178"/>
      <c r="J553" s="178"/>
      <c r="K553" s="178"/>
      <c r="L553" s="178"/>
      <c r="M553" s="178"/>
      <c r="N553" s="178"/>
      <c r="O553" s="178"/>
      <c r="P553" s="178"/>
      <c r="Q553" s="178"/>
      <c r="R553" s="178"/>
      <c r="S553" s="178"/>
      <c r="T553" s="178"/>
      <c r="U553" s="178"/>
      <c r="V553" s="410"/>
      <c r="Z553" s="178"/>
      <c r="AA553" s="178"/>
      <c r="AB553" s="178"/>
      <c r="AC553" s="178"/>
      <c r="AD553" s="178"/>
      <c r="AE553" s="178"/>
      <c r="AF553" s="178"/>
      <c r="AG553" s="178"/>
      <c r="AH553" s="178"/>
      <c r="AI553" s="178"/>
      <c r="AJ553" s="178"/>
      <c r="AK553" s="178"/>
      <c r="AL553" s="178"/>
      <c r="AM553" s="178"/>
      <c r="AN553" s="178"/>
      <c r="AO553" s="178"/>
      <c r="AP553" s="178"/>
      <c r="AQ553" s="178"/>
      <c r="AR553" s="178"/>
      <c r="AS553" s="178"/>
    </row>
    <row r="554" spans="1:45" s="21" customFormat="1" x14ac:dyDescent="0.4">
      <c r="A554" s="27"/>
      <c r="B554" s="645"/>
      <c r="C554" s="645"/>
      <c r="D554" s="131"/>
      <c r="F554" s="178"/>
      <c r="G554" s="178"/>
      <c r="H554" s="127"/>
      <c r="I554" s="178"/>
      <c r="J554" s="178"/>
      <c r="K554" s="178"/>
      <c r="L554" s="178"/>
      <c r="M554" s="178"/>
      <c r="N554" s="178"/>
      <c r="O554" s="178"/>
      <c r="P554" s="178"/>
      <c r="Q554" s="178"/>
      <c r="R554" s="178"/>
      <c r="S554" s="178"/>
      <c r="T554" s="178"/>
      <c r="U554" s="178"/>
      <c r="V554" s="410"/>
      <c r="Z554" s="178"/>
      <c r="AA554" s="178"/>
      <c r="AB554" s="178"/>
      <c r="AC554" s="178"/>
      <c r="AD554" s="178"/>
      <c r="AE554" s="178"/>
      <c r="AF554" s="178"/>
      <c r="AG554" s="178"/>
      <c r="AH554" s="178"/>
      <c r="AI554" s="178"/>
      <c r="AJ554" s="178"/>
      <c r="AK554" s="178"/>
      <c r="AL554" s="178"/>
      <c r="AM554" s="178"/>
      <c r="AN554" s="178"/>
      <c r="AO554" s="178"/>
      <c r="AP554" s="178"/>
      <c r="AQ554" s="178"/>
      <c r="AR554" s="178"/>
      <c r="AS554" s="178"/>
    </row>
    <row r="555" spans="1:45" s="21" customFormat="1" x14ac:dyDescent="0.4">
      <c r="A555" s="27"/>
      <c r="B555" s="645"/>
      <c r="C555" s="645"/>
      <c r="D555" s="131"/>
      <c r="F555" s="178"/>
      <c r="G555" s="178"/>
      <c r="H555" s="127"/>
      <c r="I555" s="178"/>
      <c r="J555" s="178"/>
      <c r="K555" s="178"/>
      <c r="L555" s="178"/>
      <c r="M555" s="178"/>
      <c r="N555" s="178"/>
      <c r="O555" s="178"/>
      <c r="P555" s="178"/>
      <c r="Q555" s="178"/>
      <c r="R555" s="178"/>
      <c r="S555" s="178"/>
      <c r="T555" s="178"/>
      <c r="U555" s="178"/>
      <c r="V555" s="410"/>
      <c r="Z555" s="178"/>
      <c r="AA555" s="178"/>
      <c r="AB555" s="178"/>
      <c r="AC555" s="178"/>
      <c r="AD555" s="178"/>
      <c r="AE555" s="178"/>
      <c r="AF555" s="178"/>
      <c r="AG555" s="178"/>
      <c r="AH555" s="178"/>
      <c r="AI555" s="178"/>
      <c r="AJ555" s="178"/>
      <c r="AK555" s="178"/>
      <c r="AL555" s="178"/>
      <c r="AM555" s="178"/>
      <c r="AN555" s="178"/>
      <c r="AO555" s="178"/>
      <c r="AP555" s="178"/>
      <c r="AQ555" s="178"/>
      <c r="AR555" s="178"/>
      <c r="AS555" s="178"/>
    </row>
    <row r="556" spans="1:45" s="21" customFormat="1" x14ac:dyDescent="0.4">
      <c r="A556" s="27"/>
      <c r="B556" s="645"/>
      <c r="C556" s="645"/>
      <c r="D556" s="131"/>
      <c r="F556" s="178"/>
      <c r="G556" s="178"/>
      <c r="H556" s="127"/>
      <c r="I556" s="178"/>
      <c r="J556" s="178"/>
      <c r="K556" s="178"/>
      <c r="L556" s="178"/>
      <c r="M556" s="178"/>
      <c r="N556" s="178"/>
      <c r="O556" s="178"/>
      <c r="P556" s="178"/>
      <c r="Q556" s="178"/>
      <c r="R556" s="178"/>
      <c r="S556" s="178"/>
      <c r="T556" s="178"/>
      <c r="U556" s="178"/>
      <c r="V556" s="410"/>
      <c r="Z556" s="178"/>
      <c r="AA556" s="178"/>
      <c r="AB556" s="178"/>
      <c r="AC556" s="178"/>
      <c r="AD556" s="178"/>
      <c r="AE556" s="178"/>
      <c r="AF556" s="178"/>
      <c r="AG556" s="178"/>
      <c r="AH556" s="178"/>
      <c r="AI556" s="178"/>
      <c r="AJ556" s="178"/>
      <c r="AK556" s="178"/>
      <c r="AL556" s="178"/>
      <c r="AM556" s="178"/>
      <c r="AN556" s="178"/>
      <c r="AO556" s="178"/>
      <c r="AP556" s="178"/>
      <c r="AQ556" s="178"/>
      <c r="AR556" s="178"/>
      <c r="AS556" s="178"/>
    </row>
    <row r="557" spans="1:45" s="21" customFormat="1" x14ac:dyDescent="0.4">
      <c r="A557" s="27"/>
      <c r="B557" s="645"/>
      <c r="C557" s="645"/>
      <c r="D557" s="131"/>
      <c r="F557" s="178"/>
      <c r="G557" s="178"/>
      <c r="H557" s="127"/>
      <c r="I557" s="178"/>
      <c r="J557" s="178"/>
      <c r="K557" s="178"/>
      <c r="L557" s="178"/>
      <c r="M557" s="178"/>
      <c r="N557" s="178"/>
      <c r="O557" s="178"/>
      <c r="P557" s="178"/>
      <c r="Q557" s="178"/>
      <c r="R557" s="178"/>
      <c r="S557" s="178"/>
      <c r="T557" s="178"/>
      <c r="U557" s="178"/>
      <c r="V557" s="410"/>
      <c r="Z557" s="178"/>
      <c r="AA557" s="178"/>
      <c r="AB557" s="178"/>
      <c r="AC557" s="178"/>
      <c r="AD557" s="178"/>
      <c r="AE557" s="178"/>
      <c r="AF557" s="178"/>
      <c r="AG557" s="178"/>
      <c r="AH557" s="178"/>
      <c r="AI557" s="178"/>
      <c r="AJ557" s="178"/>
      <c r="AK557" s="178"/>
      <c r="AL557" s="178"/>
      <c r="AM557" s="178"/>
      <c r="AN557" s="178"/>
      <c r="AO557" s="178"/>
      <c r="AP557" s="178"/>
      <c r="AQ557" s="178"/>
      <c r="AR557" s="178"/>
      <c r="AS557" s="178"/>
    </row>
    <row r="558" spans="1:45" s="21" customFormat="1" x14ac:dyDescent="0.4">
      <c r="A558" s="27"/>
      <c r="B558" s="645"/>
      <c r="C558" s="645"/>
      <c r="D558" s="131"/>
      <c r="F558" s="178"/>
      <c r="G558" s="178"/>
      <c r="H558" s="127"/>
      <c r="I558" s="178"/>
      <c r="J558" s="178"/>
      <c r="K558" s="178"/>
      <c r="L558" s="178"/>
      <c r="M558" s="178"/>
      <c r="N558" s="178"/>
      <c r="O558" s="178"/>
      <c r="P558" s="178"/>
      <c r="Q558" s="178"/>
      <c r="R558" s="178"/>
      <c r="S558" s="178"/>
      <c r="T558" s="178"/>
      <c r="U558" s="178"/>
      <c r="V558" s="410"/>
      <c r="Z558" s="178"/>
      <c r="AA558" s="178"/>
      <c r="AB558" s="178"/>
      <c r="AC558" s="178"/>
      <c r="AD558" s="178"/>
      <c r="AE558" s="178"/>
      <c r="AF558" s="178"/>
      <c r="AG558" s="178"/>
      <c r="AH558" s="178"/>
      <c r="AI558" s="178"/>
      <c r="AJ558" s="178"/>
      <c r="AK558" s="178"/>
      <c r="AL558" s="178"/>
      <c r="AM558" s="178"/>
      <c r="AN558" s="178"/>
      <c r="AO558" s="178"/>
      <c r="AP558" s="178"/>
      <c r="AQ558" s="178"/>
      <c r="AR558" s="178"/>
      <c r="AS558" s="178"/>
    </row>
    <row r="559" spans="1:45" s="21" customFormat="1" x14ac:dyDescent="0.4">
      <c r="A559" s="27"/>
      <c r="B559" s="645"/>
      <c r="C559" s="645"/>
      <c r="D559" s="131"/>
      <c r="F559" s="178"/>
      <c r="G559" s="178"/>
      <c r="H559" s="127"/>
      <c r="I559" s="178"/>
      <c r="J559" s="178"/>
      <c r="K559" s="178"/>
      <c r="L559" s="178"/>
      <c r="M559" s="178"/>
      <c r="N559" s="178"/>
      <c r="O559" s="178"/>
      <c r="P559" s="178"/>
      <c r="Q559" s="178"/>
      <c r="R559" s="178"/>
      <c r="S559" s="178"/>
      <c r="T559" s="178"/>
      <c r="U559" s="178"/>
      <c r="V559" s="410"/>
      <c r="Z559" s="178"/>
      <c r="AA559" s="178"/>
      <c r="AB559" s="178"/>
      <c r="AC559" s="178"/>
      <c r="AD559" s="178"/>
      <c r="AE559" s="178"/>
      <c r="AF559" s="178"/>
      <c r="AG559" s="178"/>
      <c r="AH559" s="178"/>
      <c r="AI559" s="178"/>
      <c r="AJ559" s="178"/>
      <c r="AK559" s="178"/>
      <c r="AL559" s="178"/>
      <c r="AM559" s="178"/>
      <c r="AN559" s="178"/>
      <c r="AO559" s="178"/>
      <c r="AP559" s="178"/>
      <c r="AQ559" s="178"/>
      <c r="AR559" s="178"/>
      <c r="AS559" s="178"/>
    </row>
    <row r="560" spans="1:45" s="21" customFormat="1" x14ac:dyDescent="0.4">
      <c r="A560" s="27"/>
      <c r="B560" s="645"/>
      <c r="C560" s="645"/>
      <c r="D560" s="131"/>
      <c r="F560" s="178"/>
      <c r="G560" s="178"/>
      <c r="H560" s="127"/>
      <c r="I560" s="178"/>
      <c r="J560" s="178"/>
      <c r="K560" s="178"/>
      <c r="L560" s="178"/>
      <c r="M560" s="178"/>
      <c r="N560" s="178"/>
      <c r="O560" s="178"/>
      <c r="P560" s="178"/>
      <c r="Q560" s="178"/>
      <c r="R560" s="178"/>
      <c r="S560" s="178"/>
      <c r="T560" s="178"/>
      <c r="U560" s="178"/>
      <c r="V560" s="410"/>
      <c r="Z560" s="178"/>
      <c r="AA560" s="178"/>
      <c r="AB560" s="178"/>
      <c r="AC560" s="178"/>
      <c r="AD560" s="178"/>
      <c r="AE560" s="178"/>
      <c r="AF560" s="178"/>
      <c r="AG560" s="178"/>
      <c r="AH560" s="178"/>
      <c r="AI560" s="178"/>
      <c r="AJ560" s="178"/>
      <c r="AK560" s="178"/>
      <c r="AL560" s="178"/>
      <c r="AM560" s="178"/>
      <c r="AN560" s="178"/>
      <c r="AO560" s="178"/>
      <c r="AP560" s="178"/>
      <c r="AQ560" s="178"/>
      <c r="AR560" s="178"/>
      <c r="AS560" s="178"/>
    </row>
    <row r="561" spans="1:45" s="21" customFormat="1" x14ac:dyDescent="0.4">
      <c r="A561" s="27"/>
      <c r="B561" s="645"/>
      <c r="C561" s="645"/>
      <c r="D561" s="131"/>
      <c r="F561" s="178"/>
      <c r="G561" s="178"/>
      <c r="H561" s="127"/>
      <c r="I561" s="178"/>
      <c r="J561" s="178"/>
      <c r="K561" s="178"/>
      <c r="L561" s="178"/>
      <c r="M561" s="178"/>
      <c r="N561" s="178"/>
      <c r="O561" s="178"/>
      <c r="P561" s="178"/>
      <c r="Q561" s="178"/>
      <c r="R561" s="178"/>
      <c r="S561" s="178"/>
      <c r="T561" s="178"/>
      <c r="U561" s="178"/>
      <c r="V561" s="410"/>
      <c r="Z561" s="178"/>
      <c r="AA561" s="178"/>
      <c r="AB561" s="178"/>
      <c r="AC561" s="178"/>
      <c r="AD561" s="178"/>
      <c r="AE561" s="178"/>
      <c r="AF561" s="178"/>
      <c r="AG561" s="178"/>
      <c r="AH561" s="178"/>
      <c r="AI561" s="178"/>
      <c r="AJ561" s="178"/>
      <c r="AK561" s="178"/>
      <c r="AL561" s="178"/>
      <c r="AM561" s="178"/>
      <c r="AN561" s="178"/>
      <c r="AO561" s="178"/>
      <c r="AP561" s="178"/>
      <c r="AQ561" s="178"/>
      <c r="AR561" s="178"/>
      <c r="AS561" s="178"/>
    </row>
    <row r="562" spans="1:45" s="21" customFormat="1" x14ac:dyDescent="0.4">
      <c r="A562" s="27"/>
      <c r="B562" s="645"/>
      <c r="C562" s="645"/>
      <c r="D562" s="131"/>
      <c r="F562" s="178"/>
      <c r="G562" s="178"/>
      <c r="H562" s="127"/>
      <c r="I562" s="178"/>
      <c r="J562" s="178"/>
      <c r="K562" s="178"/>
      <c r="L562" s="178"/>
      <c r="M562" s="178"/>
      <c r="N562" s="178"/>
      <c r="O562" s="178"/>
      <c r="P562" s="178"/>
      <c r="Q562" s="178"/>
      <c r="R562" s="178"/>
      <c r="S562" s="178"/>
      <c r="T562" s="178"/>
      <c r="U562" s="178"/>
      <c r="V562" s="410"/>
      <c r="Z562" s="178"/>
      <c r="AA562" s="178"/>
      <c r="AB562" s="178"/>
      <c r="AC562" s="178"/>
      <c r="AD562" s="178"/>
      <c r="AE562" s="178"/>
      <c r="AF562" s="178"/>
      <c r="AG562" s="178"/>
      <c r="AH562" s="178"/>
      <c r="AI562" s="178"/>
      <c r="AJ562" s="178"/>
      <c r="AK562" s="178"/>
      <c r="AL562" s="178"/>
      <c r="AM562" s="178"/>
      <c r="AN562" s="178"/>
      <c r="AO562" s="178"/>
      <c r="AP562" s="178"/>
      <c r="AQ562" s="178"/>
      <c r="AR562" s="178"/>
      <c r="AS562" s="178"/>
    </row>
    <row r="563" spans="1:45" s="21" customFormat="1" x14ac:dyDescent="0.4">
      <c r="A563" s="27"/>
      <c r="B563" s="645"/>
      <c r="C563" s="645"/>
      <c r="D563" s="131"/>
      <c r="F563" s="178"/>
      <c r="G563" s="178"/>
      <c r="H563" s="127"/>
      <c r="I563" s="178"/>
      <c r="J563" s="178"/>
      <c r="K563" s="178"/>
      <c r="L563" s="178"/>
      <c r="M563" s="178"/>
      <c r="N563" s="178"/>
      <c r="O563" s="178"/>
      <c r="P563" s="178"/>
      <c r="Q563" s="178"/>
      <c r="R563" s="178"/>
      <c r="S563" s="178"/>
      <c r="T563" s="178"/>
      <c r="U563" s="178"/>
      <c r="V563" s="410"/>
      <c r="Z563" s="178"/>
      <c r="AA563" s="178"/>
      <c r="AB563" s="178"/>
      <c r="AC563" s="178"/>
      <c r="AD563" s="178"/>
      <c r="AE563" s="178"/>
      <c r="AF563" s="178"/>
      <c r="AG563" s="178"/>
      <c r="AH563" s="178"/>
      <c r="AI563" s="178"/>
      <c r="AJ563" s="178"/>
      <c r="AK563" s="178"/>
      <c r="AL563" s="178"/>
      <c r="AM563" s="178"/>
      <c r="AN563" s="178"/>
      <c r="AO563" s="178"/>
      <c r="AP563" s="178"/>
      <c r="AQ563" s="178"/>
      <c r="AR563" s="178"/>
      <c r="AS563" s="178"/>
    </row>
    <row r="564" spans="1:45" s="21" customFormat="1" x14ac:dyDescent="0.4">
      <c r="A564" s="27"/>
      <c r="B564" s="645"/>
      <c r="C564" s="645"/>
      <c r="D564" s="131"/>
      <c r="F564" s="178"/>
      <c r="G564" s="178"/>
      <c r="H564" s="127"/>
      <c r="I564" s="178"/>
      <c r="J564" s="178"/>
      <c r="K564" s="178"/>
      <c r="L564" s="178"/>
      <c r="M564" s="178"/>
      <c r="N564" s="178"/>
      <c r="O564" s="178"/>
      <c r="P564" s="178"/>
      <c r="Q564" s="178"/>
      <c r="R564" s="178"/>
      <c r="S564" s="178"/>
      <c r="T564" s="178"/>
      <c r="U564" s="178"/>
      <c r="V564" s="410"/>
      <c r="Z564" s="178"/>
      <c r="AA564" s="178"/>
      <c r="AB564" s="178"/>
      <c r="AC564" s="178"/>
      <c r="AD564" s="178"/>
      <c r="AE564" s="178"/>
      <c r="AF564" s="178"/>
      <c r="AG564" s="178"/>
      <c r="AH564" s="178"/>
      <c r="AI564" s="178"/>
      <c r="AJ564" s="178"/>
      <c r="AK564" s="178"/>
      <c r="AL564" s="178"/>
      <c r="AM564" s="178"/>
      <c r="AN564" s="178"/>
      <c r="AO564" s="178"/>
      <c r="AP564" s="178"/>
      <c r="AQ564" s="178"/>
      <c r="AR564" s="178"/>
      <c r="AS564" s="178"/>
    </row>
    <row r="565" spans="1:45" s="21" customFormat="1" x14ac:dyDescent="0.4">
      <c r="A565" s="27"/>
      <c r="B565" s="645"/>
      <c r="C565" s="645"/>
      <c r="D565" s="131"/>
      <c r="F565" s="178"/>
      <c r="G565" s="178"/>
      <c r="H565" s="127"/>
      <c r="I565" s="178"/>
      <c r="J565" s="178"/>
      <c r="K565" s="178"/>
      <c r="L565" s="178"/>
      <c r="M565" s="178"/>
      <c r="N565" s="178"/>
      <c r="O565" s="178"/>
      <c r="P565" s="178"/>
      <c r="Q565" s="178"/>
      <c r="R565" s="178"/>
      <c r="S565" s="178"/>
      <c r="T565" s="178"/>
      <c r="U565" s="178"/>
      <c r="V565" s="410"/>
      <c r="Z565" s="178"/>
      <c r="AA565" s="178"/>
      <c r="AB565" s="178"/>
      <c r="AC565" s="178"/>
      <c r="AD565" s="178"/>
      <c r="AE565" s="178"/>
      <c r="AF565" s="178"/>
      <c r="AG565" s="178"/>
      <c r="AH565" s="178"/>
      <c r="AI565" s="178"/>
      <c r="AJ565" s="178"/>
      <c r="AK565" s="178"/>
      <c r="AL565" s="178"/>
      <c r="AM565" s="178"/>
      <c r="AN565" s="178"/>
      <c r="AO565" s="178"/>
      <c r="AP565" s="178"/>
      <c r="AQ565" s="178"/>
      <c r="AR565" s="178"/>
      <c r="AS565" s="178"/>
    </row>
    <row r="566" spans="1:45" s="21" customFormat="1" x14ac:dyDescent="0.4">
      <c r="A566" s="27"/>
      <c r="B566" s="645"/>
      <c r="C566" s="645"/>
      <c r="D566" s="131"/>
      <c r="F566" s="178"/>
      <c r="G566" s="178"/>
      <c r="H566" s="127"/>
      <c r="I566" s="178"/>
      <c r="J566" s="178"/>
      <c r="K566" s="178"/>
      <c r="L566" s="178"/>
      <c r="M566" s="178"/>
      <c r="N566" s="178"/>
      <c r="O566" s="178"/>
      <c r="P566" s="178"/>
      <c r="Q566" s="178"/>
      <c r="R566" s="178"/>
      <c r="S566" s="178"/>
      <c r="T566" s="178"/>
      <c r="U566" s="178"/>
      <c r="V566" s="410"/>
      <c r="Z566" s="178"/>
      <c r="AA566" s="178"/>
      <c r="AB566" s="178"/>
      <c r="AC566" s="178"/>
      <c r="AD566" s="178"/>
      <c r="AE566" s="178"/>
      <c r="AF566" s="178"/>
      <c r="AG566" s="178"/>
      <c r="AH566" s="178"/>
      <c r="AI566" s="178"/>
      <c r="AJ566" s="178"/>
      <c r="AK566" s="178"/>
      <c r="AL566" s="178"/>
      <c r="AM566" s="178"/>
      <c r="AN566" s="178"/>
      <c r="AO566" s="178"/>
      <c r="AP566" s="178"/>
      <c r="AQ566" s="178"/>
      <c r="AR566" s="178"/>
      <c r="AS566" s="178"/>
    </row>
    <row r="567" spans="1:45" s="21" customFormat="1" x14ac:dyDescent="0.4">
      <c r="A567" s="27"/>
      <c r="B567" s="645"/>
      <c r="C567" s="645"/>
      <c r="D567" s="131"/>
      <c r="F567" s="178"/>
      <c r="G567" s="178"/>
      <c r="H567" s="127"/>
      <c r="I567" s="178"/>
      <c r="J567" s="178"/>
      <c r="K567" s="178"/>
      <c r="L567" s="178"/>
      <c r="M567" s="178"/>
      <c r="N567" s="178"/>
      <c r="O567" s="178"/>
      <c r="P567" s="178"/>
      <c r="Q567" s="178"/>
      <c r="R567" s="178"/>
      <c r="S567" s="178"/>
      <c r="T567" s="178"/>
      <c r="U567" s="178"/>
      <c r="V567" s="410"/>
      <c r="Z567" s="178"/>
      <c r="AA567" s="178"/>
      <c r="AB567" s="178"/>
      <c r="AC567" s="178"/>
      <c r="AD567" s="178"/>
      <c r="AE567" s="178"/>
      <c r="AF567" s="178"/>
      <c r="AG567" s="178"/>
      <c r="AH567" s="178"/>
      <c r="AI567" s="178"/>
      <c r="AJ567" s="178"/>
      <c r="AK567" s="178"/>
      <c r="AL567" s="178"/>
      <c r="AM567" s="178"/>
      <c r="AN567" s="178"/>
      <c r="AO567" s="178"/>
      <c r="AP567" s="178"/>
      <c r="AQ567" s="178"/>
      <c r="AR567" s="178"/>
      <c r="AS567" s="178"/>
    </row>
    <row r="568" spans="1:45" s="21" customFormat="1" x14ac:dyDescent="0.4">
      <c r="A568" s="27"/>
      <c r="B568" s="645"/>
      <c r="C568" s="645"/>
      <c r="D568" s="131"/>
      <c r="F568" s="178"/>
      <c r="G568" s="178"/>
      <c r="H568" s="127"/>
      <c r="I568" s="178"/>
      <c r="J568" s="178"/>
      <c r="K568" s="178"/>
      <c r="L568" s="178"/>
      <c r="M568" s="178"/>
      <c r="N568" s="178"/>
      <c r="O568" s="178"/>
      <c r="P568" s="178"/>
      <c r="Q568" s="178"/>
      <c r="R568" s="178"/>
      <c r="S568" s="178"/>
      <c r="T568" s="178"/>
      <c r="U568" s="178"/>
      <c r="V568" s="410"/>
      <c r="Z568" s="178"/>
      <c r="AA568" s="178"/>
      <c r="AB568" s="178"/>
      <c r="AC568" s="178"/>
      <c r="AD568" s="178"/>
      <c r="AE568" s="178"/>
      <c r="AF568" s="178"/>
      <c r="AG568" s="178"/>
      <c r="AH568" s="178"/>
      <c r="AI568" s="178"/>
      <c r="AJ568" s="178"/>
      <c r="AK568" s="178"/>
      <c r="AL568" s="178"/>
      <c r="AM568" s="178"/>
      <c r="AN568" s="178"/>
      <c r="AO568" s="178"/>
      <c r="AP568" s="178"/>
      <c r="AQ568" s="178"/>
      <c r="AR568" s="178"/>
      <c r="AS568" s="178"/>
    </row>
    <row r="569" spans="1:45" s="21" customFormat="1" x14ac:dyDescent="0.4">
      <c r="A569" s="27"/>
      <c r="B569" s="645"/>
      <c r="C569" s="645"/>
      <c r="D569" s="131"/>
      <c r="F569" s="178"/>
      <c r="G569" s="178"/>
      <c r="H569" s="127"/>
      <c r="I569" s="178"/>
      <c r="J569" s="178"/>
      <c r="K569" s="178"/>
      <c r="L569" s="178"/>
      <c r="M569" s="178"/>
      <c r="N569" s="178"/>
      <c r="O569" s="178"/>
      <c r="P569" s="178"/>
      <c r="Q569" s="178"/>
      <c r="R569" s="178"/>
      <c r="S569" s="178"/>
      <c r="T569" s="178"/>
      <c r="U569" s="178"/>
      <c r="V569" s="410"/>
      <c r="Z569" s="178"/>
      <c r="AA569" s="178"/>
      <c r="AB569" s="178"/>
      <c r="AC569" s="178"/>
      <c r="AD569" s="178"/>
      <c r="AE569" s="178"/>
      <c r="AF569" s="178"/>
      <c r="AG569" s="178"/>
      <c r="AH569" s="178"/>
      <c r="AI569" s="178"/>
      <c r="AJ569" s="178"/>
      <c r="AK569" s="178"/>
      <c r="AL569" s="178"/>
      <c r="AM569" s="178"/>
      <c r="AN569" s="178"/>
      <c r="AO569" s="178"/>
      <c r="AP569" s="178"/>
      <c r="AQ569" s="178"/>
      <c r="AR569" s="178"/>
      <c r="AS569" s="178"/>
    </row>
    <row r="570" spans="1:45" s="21" customFormat="1" x14ac:dyDescent="0.4">
      <c r="A570" s="27"/>
      <c r="B570" s="645"/>
      <c r="C570" s="645"/>
      <c r="D570" s="131"/>
      <c r="F570" s="178"/>
      <c r="G570" s="178"/>
      <c r="H570" s="127"/>
      <c r="I570" s="178"/>
      <c r="J570" s="178"/>
      <c r="K570" s="178"/>
      <c r="L570" s="178"/>
      <c r="M570" s="178"/>
      <c r="N570" s="178"/>
      <c r="O570" s="178"/>
      <c r="P570" s="178"/>
      <c r="Q570" s="178"/>
      <c r="R570" s="178"/>
      <c r="S570" s="178"/>
      <c r="T570" s="178"/>
      <c r="U570" s="178"/>
      <c r="V570" s="410"/>
      <c r="Z570" s="178"/>
      <c r="AA570" s="178"/>
      <c r="AB570" s="178"/>
      <c r="AC570" s="178"/>
      <c r="AD570" s="178"/>
      <c r="AE570" s="178"/>
      <c r="AF570" s="178"/>
      <c r="AG570" s="178"/>
      <c r="AH570" s="178"/>
      <c r="AI570" s="178"/>
      <c r="AJ570" s="178"/>
      <c r="AK570" s="178"/>
      <c r="AL570" s="178"/>
      <c r="AM570" s="178"/>
      <c r="AN570" s="178"/>
      <c r="AO570" s="178"/>
      <c r="AP570" s="178"/>
      <c r="AQ570" s="178"/>
      <c r="AR570" s="178"/>
      <c r="AS570" s="178"/>
    </row>
    <row r="571" spans="1:45" s="21" customFormat="1" x14ac:dyDescent="0.4">
      <c r="A571" s="27"/>
      <c r="B571" s="645"/>
      <c r="C571" s="645"/>
      <c r="D571" s="131"/>
      <c r="F571" s="178"/>
      <c r="G571" s="178"/>
      <c r="H571" s="127"/>
      <c r="I571" s="178"/>
      <c r="J571" s="178"/>
      <c r="K571" s="178"/>
      <c r="L571" s="178"/>
      <c r="M571" s="178"/>
      <c r="N571" s="178"/>
      <c r="O571" s="178"/>
      <c r="P571" s="178"/>
      <c r="Q571" s="178"/>
      <c r="R571" s="178"/>
      <c r="S571" s="178"/>
      <c r="T571" s="178"/>
      <c r="U571" s="178"/>
      <c r="V571" s="410"/>
      <c r="Z571" s="178"/>
      <c r="AA571" s="178"/>
      <c r="AB571" s="178"/>
      <c r="AC571" s="178"/>
      <c r="AD571" s="178"/>
      <c r="AE571" s="178"/>
      <c r="AF571" s="178"/>
      <c r="AG571" s="178"/>
      <c r="AH571" s="178"/>
      <c r="AI571" s="178"/>
      <c r="AJ571" s="178"/>
      <c r="AK571" s="178"/>
      <c r="AL571" s="178"/>
      <c r="AM571" s="178"/>
      <c r="AN571" s="178"/>
      <c r="AO571" s="178"/>
      <c r="AP571" s="178"/>
      <c r="AQ571" s="178"/>
      <c r="AR571" s="178"/>
      <c r="AS571" s="178"/>
    </row>
    <row r="572" spans="1:45" s="21" customFormat="1" x14ac:dyDescent="0.4">
      <c r="A572" s="27"/>
      <c r="B572" s="645"/>
      <c r="C572" s="645"/>
      <c r="D572" s="131"/>
      <c r="F572" s="178"/>
      <c r="G572" s="178"/>
      <c r="H572" s="127"/>
      <c r="I572" s="178"/>
      <c r="J572" s="178"/>
      <c r="K572" s="178"/>
      <c r="L572" s="178"/>
      <c r="M572" s="178"/>
      <c r="N572" s="178"/>
      <c r="O572" s="178"/>
      <c r="P572" s="178"/>
      <c r="Q572" s="178"/>
      <c r="R572" s="178"/>
      <c r="S572" s="178"/>
      <c r="T572" s="178"/>
      <c r="U572" s="178"/>
      <c r="V572" s="410"/>
      <c r="Z572" s="178"/>
      <c r="AA572" s="178"/>
      <c r="AB572" s="178"/>
      <c r="AC572" s="178"/>
      <c r="AD572" s="178"/>
      <c r="AE572" s="178"/>
      <c r="AF572" s="178"/>
      <c r="AG572" s="178"/>
      <c r="AH572" s="178"/>
      <c r="AI572" s="178"/>
      <c r="AJ572" s="178"/>
      <c r="AK572" s="178"/>
      <c r="AL572" s="178"/>
      <c r="AM572" s="178"/>
      <c r="AN572" s="178"/>
      <c r="AO572" s="178"/>
      <c r="AP572" s="178"/>
      <c r="AQ572" s="178"/>
      <c r="AR572" s="178"/>
      <c r="AS572" s="178"/>
    </row>
    <row r="573" spans="1:45" s="21" customFormat="1" x14ac:dyDescent="0.4">
      <c r="A573" s="27"/>
      <c r="B573" s="645"/>
      <c r="C573" s="645"/>
      <c r="D573" s="131"/>
      <c r="F573" s="178"/>
      <c r="G573" s="178"/>
      <c r="H573" s="127"/>
      <c r="I573" s="178"/>
      <c r="J573" s="178"/>
      <c r="K573" s="178"/>
      <c r="L573" s="178"/>
      <c r="M573" s="178"/>
      <c r="N573" s="178"/>
      <c r="O573" s="178"/>
      <c r="P573" s="178"/>
      <c r="Q573" s="178"/>
      <c r="R573" s="178"/>
      <c r="S573" s="178"/>
      <c r="T573" s="178"/>
      <c r="U573" s="178"/>
      <c r="V573" s="410"/>
      <c r="Z573" s="178"/>
      <c r="AA573" s="178"/>
      <c r="AB573" s="178"/>
      <c r="AC573" s="178"/>
      <c r="AD573" s="178"/>
      <c r="AE573" s="178"/>
      <c r="AF573" s="178"/>
      <c r="AG573" s="178"/>
      <c r="AH573" s="178"/>
      <c r="AI573" s="178"/>
      <c r="AJ573" s="178"/>
      <c r="AK573" s="178"/>
      <c r="AL573" s="178"/>
      <c r="AM573" s="178"/>
      <c r="AN573" s="178"/>
      <c r="AO573" s="178"/>
      <c r="AP573" s="178"/>
      <c r="AQ573" s="178"/>
      <c r="AR573" s="178"/>
      <c r="AS573" s="178"/>
    </row>
    <row r="574" spans="1:45" s="21" customFormat="1" x14ac:dyDescent="0.4">
      <c r="A574" s="27"/>
      <c r="B574" s="645"/>
      <c r="C574" s="645"/>
      <c r="D574" s="131"/>
      <c r="F574" s="178"/>
      <c r="G574" s="178"/>
      <c r="H574" s="127"/>
      <c r="I574" s="178"/>
      <c r="J574" s="178"/>
      <c r="K574" s="178"/>
      <c r="L574" s="178"/>
      <c r="M574" s="178"/>
      <c r="N574" s="799"/>
      <c r="O574" s="178"/>
      <c r="P574" s="178"/>
      <c r="Q574" s="178"/>
      <c r="R574" s="178"/>
      <c r="S574" s="178"/>
      <c r="T574" s="178"/>
      <c r="U574" s="178"/>
      <c r="V574" s="410"/>
      <c r="Z574" s="178"/>
      <c r="AA574" s="178"/>
      <c r="AB574" s="178"/>
      <c r="AC574" s="178"/>
      <c r="AD574" s="178"/>
      <c r="AE574" s="178"/>
      <c r="AF574" s="178"/>
      <c r="AG574" s="178"/>
      <c r="AH574" s="178"/>
      <c r="AI574" s="178"/>
      <c r="AJ574" s="178"/>
      <c r="AK574" s="178"/>
      <c r="AL574" s="178"/>
      <c r="AM574" s="178"/>
      <c r="AN574" s="178"/>
      <c r="AO574" s="178"/>
      <c r="AP574" s="178"/>
      <c r="AQ574" s="178"/>
      <c r="AR574" s="178"/>
      <c r="AS574" s="178"/>
    </row>
    <row r="575" spans="1:45" s="21" customFormat="1" x14ac:dyDescent="0.4">
      <c r="A575" s="27"/>
      <c r="B575" s="645"/>
      <c r="C575" s="645"/>
      <c r="D575" s="131"/>
      <c r="F575" s="178"/>
      <c r="G575" s="178"/>
      <c r="H575" s="127"/>
      <c r="I575" s="178"/>
      <c r="J575" s="178"/>
      <c r="K575" s="178"/>
      <c r="L575" s="178"/>
      <c r="M575" s="178"/>
      <c r="N575" s="178"/>
      <c r="O575" s="178"/>
      <c r="P575" s="178"/>
      <c r="Q575" s="178"/>
      <c r="R575" s="178"/>
      <c r="S575" s="178"/>
      <c r="T575" s="178"/>
      <c r="U575" s="178"/>
      <c r="V575" s="410"/>
      <c r="Z575" s="178"/>
      <c r="AA575" s="178"/>
      <c r="AB575" s="178"/>
      <c r="AC575" s="178"/>
      <c r="AD575" s="178"/>
      <c r="AE575" s="178"/>
      <c r="AF575" s="178"/>
      <c r="AG575" s="178"/>
      <c r="AH575" s="178"/>
      <c r="AI575" s="178"/>
      <c r="AJ575" s="178"/>
      <c r="AK575" s="178"/>
      <c r="AL575" s="178"/>
      <c r="AM575" s="178"/>
      <c r="AN575" s="178"/>
      <c r="AO575" s="178"/>
      <c r="AP575" s="178"/>
      <c r="AQ575" s="178"/>
      <c r="AR575" s="178"/>
      <c r="AS575" s="178"/>
    </row>
    <row r="576" spans="1:45" s="21" customFormat="1" x14ac:dyDescent="0.4">
      <c r="A576" s="27"/>
      <c r="B576" s="645"/>
      <c r="C576" s="645"/>
      <c r="D576" s="131"/>
      <c r="F576" s="178"/>
      <c r="G576" s="178"/>
      <c r="H576" s="127"/>
      <c r="I576" s="178"/>
      <c r="J576" s="178"/>
      <c r="K576" s="178"/>
      <c r="L576" s="178"/>
      <c r="M576" s="178"/>
      <c r="N576" s="178"/>
      <c r="O576" s="178"/>
      <c r="P576" s="178"/>
      <c r="Q576" s="178"/>
      <c r="R576" s="178"/>
      <c r="S576" s="178"/>
      <c r="T576" s="178"/>
      <c r="U576" s="178"/>
      <c r="V576" s="410"/>
      <c r="Z576" s="178"/>
      <c r="AA576" s="178"/>
      <c r="AB576" s="178"/>
      <c r="AC576" s="178"/>
      <c r="AD576" s="178"/>
      <c r="AE576" s="178"/>
      <c r="AF576" s="178"/>
      <c r="AG576" s="178"/>
      <c r="AH576" s="178"/>
      <c r="AI576" s="178"/>
      <c r="AJ576" s="178"/>
      <c r="AK576" s="178"/>
      <c r="AL576" s="178"/>
      <c r="AM576" s="178"/>
      <c r="AN576" s="178"/>
      <c r="AO576" s="178"/>
      <c r="AP576" s="178"/>
      <c r="AQ576" s="178"/>
      <c r="AR576" s="178"/>
      <c r="AS576" s="178"/>
    </row>
    <row r="577" spans="1:45" s="21" customFormat="1" x14ac:dyDescent="0.4">
      <c r="A577" s="27"/>
      <c r="B577" s="645"/>
      <c r="C577" s="645"/>
      <c r="D577" s="131"/>
      <c r="F577" s="178"/>
      <c r="G577" s="178"/>
      <c r="H577" s="127"/>
      <c r="I577" s="178"/>
      <c r="J577" s="178"/>
      <c r="K577" s="178"/>
      <c r="L577" s="178"/>
      <c r="M577" s="178"/>
      <c r="N577" s="178"/>
      <c r="O577" s="178"/>
      <c r="P577" s="178"/>
      <c r="Q577" s="178"/>
      <c r="R577" s="178"/>
      <c r="S577" s="178"/>
      <c r="T577" s="178"/>
      <c r="U577" s="178"/>
      <c r="V577" s="410"/>
      <c r="Z577" s="178"/>
      <c r="AA577" s="178"/>
      <c r="AB577" s="178"/>
      <c r="AC577" s="178"/>
      <c r="AD577" s="178"/>
      <c r="AE577" s="178"/>
      <c r="AF577" s="178"/>
      <c r="AG577" s="178"/>
      <c r="AH577" s="178"/>
      <c r="AI577" s="178"/>
      <c r="AJ577" s="178"/>
      <c r="AK577" s="178"/>
      <c r="AL577" s="178"/>
      <c r="AM577" s="178"/>
      <c r="AN577" s="178"/>
      <c r="AO577" s="178"/>
      <c r="AP577" s="178"/>
      <c r="AQ577" s="178"/>
      <c r="AR577" s="178"/>
      <c r="AS577" s="178"/>
    </row>
    <row r="578" spans="1:45" s="21" customFormat="1" x14ac:dyDescent="0.4">
      <c r="A578" s="27"/>
      <c r="B578" s="645"/>
      <c r="C578" s="645"/>
      <c r="D578" s="131"/>
      <c r="F578" s="178"/>
      <c r="G578" s="178"/>
      <c r="H578" s="127"/>
      <c r="I578" s="178"/>
      <c r="J578" s="178"/>
      <c r="K578" s="178"/>
      <c r="L578" s="178"/>
      <c r="M578" s="178"/>
      <c r="N578" s="178"/>
      <c r="O578" s="178"/>
      <c r="P578" s="178"/>
      <c r="Q578" s="178"/>
      <c r="R578" s="178"/>
      <c r="S578" s="178"/>
      <c r="T578" s="178"/>
      <c r="U578" s="178"/>
      <c r="V578" s="410"/>
      <c r="Z578" s="178"/>
      <c r="AA578" s="178"/>
      <c r="AB578" s="178"/>
      <c r="AC578" s="178"/>
      <c r="AD578" s="178"/>
      <c r="AE578" s="178"/>
      <c r="AF578" s="178"/>
      <c r="AG578" s="178"/>
      <c r="AH578" s="178"/>
      <c r="AI578" s="178"/>
      <c r="AJ578" s="178"/>
      <c r="AK578" s="178"/>
      <c r="AL578" s="178"/>
      <c r="AM578" s="178"/>
      <c r="AN578" s="178"/>
      <c r="AO578" s="178"/>
      <c r="AP578" s="178"/>
      <c r="AQ578" s="178"/>
      <c r="AR578" s="178"/>
      <c r="AS578" s="178"/>
    </row>
    <row r="579" spans="1:45" s="21" customFormat="1" x14ac:dyDescent="0.4">
      <c r="A579" s="27"/>
      <c r="B579" s="645"/>
      <c r="C579" s="645"/>
      <c r="D579" s="131"/>
      <c r="F579" s="178"/>
      <c r="G579" s="178"/>
      <c r="H579" s="127"/>
      <c r="I579" s="178"/>
      <c r="J579" s="178"/>
      <c r="K579" s="178"/>
      <c r="L579" s="178"/>
      <c r="M579" s="178"/>
      <c r="N579" s="178"/>
      <c r="O579" s="178"/>
      <c r="P579" s="178"/>
      <c r="Q579" s="178"/>
      <c r="R579" s="178"/>
      <c r="S579" s="178"/>
      <c r="T579" s="178"/>
      <c r="U579" s="178"/>
      <c r="V579" s="410"/>
      <c r="Z579" s="178"/>
      <c r="AA579" s="178"/>
      <c r="AB579" s="178"/>
      <c r="AC579" s="178"/>
      <c r="AD579" s="178"/>
      <c r="AE579" s="178"/>
      <c r="AF579" s="178"/>
      <c r="AG579" s="178"/>
      <c r="AH579" s="178"/>
      <c r="AI579" s="178"/>
      <c r="AJ579" s="178"/>
      <c r="AK579" s="178"/>
      <c r="AL579" s="178"/>
      <c r="AM579" s="178"/>
      <c r="AN579" s="178"/>
      <c r="AO579" s="178"/>
      <c r="AP579" s="178"/>
      <c r="AQ579" s="178"/>
      <c r="AR579" s="178"/>
      <c r="AS579" s="178"/>
    </row>
    <row r="580" spans="1:45" s="21" customFormat="1" x14ac:dyDescent="0.4">
      <c r="A580" s="27"/>
      <c r="B580" s="645"/>
      <c r="C580" s="645"/>
      <c r="D580" s="131"/>
      <c r="F580" s="178"/>
      <c r="G580" s="178"/>
      <c r="H580" s="127"/>
      <c r="I580" s="178"/>
      <c r="J580" s="178"/>
      <c r="K580" s="178"/>
      <c r="L580" s="178"/>
      <c r="M580" s="178"/>
      <c r="N580" s="178"/>
      <c r="O580" s="178"/>
      <c r="P580" s="178"/>
      <c r="Q580" s="178"/>
      <c r="R580" s="178"/>
      <c r="S580" s="178"/>
      <c r="T580" s="178"/>
      <c r="U580" s="178"/>
      <c r="V580" s="410"/>
      <c r="Z580" s="178"/>
      <c r="AA580" s="178"/>
      <c r="AB580" s="178"/>
      <c r="AC580" s="178"/>
      <c r="AD580" s="178"/>
      <c r="AE580" s="178"/>
      <c r="AF580" s="178"/>
      <c r="AG580" s="178"/>
      <c r="AH580" s="178"/>
      <c r="AI580" s="178"/>
      <c r="AJ580" s="178"/>
      <c r="AK580" s="178"/>
      <c r="AL580" s="178"/>
      <c r="AM580" s="178"/>
      <c r="AN580" s="178"/>
      <c r="AO580" s="178"/>
      <c r="AP580" s="178"/>
      <c r="AQ580" s="178"/>
      <c r="AR580" s="178"/>
      <c r="AS580" s="178"/>
    </row>
    <row r="581" spans="1:45" s="21" customFormat="1" x14ac:dyDescent="0.4">
      <c r="A581" s="27"/>
      <c r="B581" s="645"/>
      <c r="C581" s="645"/>
      <c r="D581" s="131"/>
      <c r="F581" s="178"/>
      <c r="G581" s="178"/>
      <c r="H581" s="127"/>
      <c r="I581" s="178"/>
      <c r="J581" s="178"/>
      <c r="K581" s="178"/>
      <c r="L581" s="178"/>
      <c r="M581" s="178"/>
      <c r="N581" s="178"/>
      <c r="O581" s="178"/>
      <c r="P581" s="178"/>
      <c r="Q581" s="178"/>
      <c r="R581" s="178"/>
      <c r="S581" s="178"/>
      <c r="T581" s="178"/>
      <c r="U581" s="178"/>
      <c r="V581" s="410"/>
      <c r="Z581" s="178"/>
      <c r="AA581" s="178"/>
      <c r="AB581" s="178"/>
      <c r="AC581" s="178"/>
      <c r="AD581" s="178"/>
      <c r="AE581" s="178"/>
      <c r="AF581" s="178"/>
      <c r="AG581" s="178"/>
      <c r="AH581" s="178"/>
      <c r="AI581" s="178"/>
      <c r="AJ581" s="178"/>
      <c r="AK581" s="178"/>
      <c r="AL581" s="178"/>
      <c r="AM581" s="178"/>
      <c r="AN581" s="178"/>
      <c r="AO581" s="178"/>
      <c r="AP581" s="178"/>
      <c r="AQ581" s="178"/>
      <c r="AR581" s="178"/>
      <c r="AS581" s="178"/>
    </row>
    <row r="582" spans="1:45" s="21" customFormat="1" x14ac:dyDescent="0.4">
      <c r="A582" s="27"/>
      <c r="B582" s="645"/>
      <c r="C582" s="645"/>
      <c r="D582" s="131"/>
      <c r="F582" s="178"/>
      <c r="G582" s="178"/>
      <c r="H582" s="127"/>
      <c r="I582" s="178"/>
      <c r="J582" s="178"/>
      <c r="K582" s="178"/>
      <c r="L582" s="178"/>
      <c r="M582" s="178"/>
      <c r="N582" s="178"/>
      <c r="O582" s="178"/>
      <c r="P582" s="178"/>
      <c r="Q582" s="178"/>
      <c r="R582" s="178"/>
      <c r="S582" s="178"/>
      <c r="T582" s="178"/>
      <c r="U582" s="178"/>
      <c r="V582" s="410"/>
      <c r="Z582" s="178"/>
      <c r="AA582" s="178"/>
      <c r="AB582" s="178"/>
      <c r="AC582" s="178"/>
      <c r="AD582" s="178"/>
      <c r="AE582" s="178"/>
      <c r="AF582" s="178"/>
      <c r="AG582" s="178"/>
      <c r="AH582" s="178"/>
      <c r="AI582" s="178"/>
      <c r="AJ582" s="178"/>
      <c r="AK582" s="178"/>
      <c r="AL582" s="178"/>
      <c r="AM582" s="178"/>
      <c r="AN582" s="178"/>
      <c r="AO582" s="178"/>
      <c r="AP582" s="178"/>
      <c r="AQ582" s="178"/>
      <c r="AR582" s="178"/>
      <c r="AS582" s="178"/>
    </row>
    <row r="583" spans="1:45" s="21" customFormat="1" x14ac:dyDescent="0.4">
      <c r="A583" s="27"/>
      <c r="B583" s="645"/>
      <c r="C583" s="645"/>
      <c r="D583" s="131"/>
      <c r="F583" s="178"/>
      <c r="G583" s="178"/>
      <c r="H583" s="127"/>
      <c r="I583" s="178"/>
      <c r="J583" s="178"/>
      <c r="K583" s="178"/>
      <c r="L583" s="178"/>
      <c r="M583" s="178"/>
      <c r="N583" s="178"/>
      <c r="O583" s="178"/>
      <c r="P583" s="178"/>
      <c r="Q583" s="178"/>
      <c r="R583" s="178"/>
      <c r="S583" s="178"/>
      <c r="T583" s="178"/>
      <c r="U583" s="178"/>
      <c r="V583" s="410"/>
      <c r="Z583" s="178"/>
      <c r="AA583" s="178"/>
      <c r="AB583" s="178"/>
      <c r="AC583" s="178"/>
      <c r="AD583" s="178"/>
      <c r="AE583" s="178"/>
      <c r="AF583" s="178"/>
      <c r="AG583" s="178"/>
      <c r="AH583" s="178"/>
      <c r="AI583" s="178"/>
      <c r="AJ583" s="178"/>
      <c r="AK583" s="178"/>
      <c r="AL583" s="178"/>
      <c r="AM583" s="178"/>
      <c r="AN583" s="178"/>
      <c r="AO583" s="178"/>
      <c r="AP583" s="178"/>
      <c r="AQ583" s="178"/>
      <c r="AR583" s="178"/>
      <c r="AS583" s="178"/>
    </row>
    <row r="584" spans="1:45" s="21" customFormat="1" x14ac:dyDescent="0.4">
      <c r="A584" s="27"/>
      <c r="B584" s="645"/>
      <c r="C584" s="645"/>
      <c r="D584" s="131"/>
      <c r="F584" s="178"/>
      <c r="G584" s="178"/>
      <c r="H584" s="127"/>
      <c r="I584" s="178"/>
      <c r="J584" s="178"/>
      <c r="K584" s="178"/>
      <c r="L584" s="178"/>
      <c r="M584" s="178"/>
      <c r="N584" s="178"/>
      <c r="O584" s="178"/>
      <c r="P584" s="178"/>
      <c r="Q584" s="178"/>
      <c r="R584" s="178"/>
      <c r="S584" s="178"/>
      <c r="T584" s="178"/>
      <c r="U584" s="178"/>
      <c r="V584" s="410"/>
      <c r="Z584" s="178"/>
      <c r="AA584" s="178"/>
      <c r="AB584" s="178"/>
      <c r="AC584" s="178"/>
      <c r="AD584" s="178"/>
      <c r="AE584" s="178"/>
      <c r="AF584" s="178"/>
      <c r="AG584" s="178"/>
      <c r="AH584" s="178"/>
      <c r="AI584" s="178"/>
      <c r="AJ584" s="178"/>
      <c r="AK584" s="178"/>
      <c r="AL584" s="178"/>
      <c r="AM584" s="178"/>
      <c r="AN584" s="178"/>
      <c r="AO584" s="178"/>
      <c r="AP584" s="178"/>
      <c r="AQ584" s="178"/>
      <c r="AR584" s="178"/>
      <c r="AS584" s="178"/>
    </row>
    <row r="585" spans="1:45" s="21" customFormat="1" x14ac:dyDescent="0.4">
      <c r="A585" s="27"/>
      <c r="B585" s="645"/>
      <c r="C585" s="645"/>
      <c r="D585" s="131"/>
      <c r="F585" s="178"/>
      <c r="G585" s="178"/>
      <c r="H585" s="127"/>
      <c r="I585" s="178"/>
      <c r="J585" s="178"/>
      <c r="K585" s="178"/>
      <c r="L585" s="178"/>
      <c r="M585" s="178"/>
      <c r="N585" s="178"/>
      <c r="O585" s="178"/>
      <c r="P585" s="178"/>
      <c r="Q585" s="178"/>
      <c r="R585" s="178"/>
      <c r="S585" s="178"/>
      <c r="T585" s="178"/>
      <c r="U585" s="178"/>
      <c r="V585" s="410"/>
      <c r="Z585" s="178"/>
      <c r="AA585" s="178"/>
      <c r="AB585" s="178"/>
      <c r="AC585" s="178"/>
      <c r="AD585" s="178"/>
      <c r="AE585" s="178"/>
      <c r="AF585" s="178"/>
      <c r="AG585" s="178"/>
      <c r="AH585" s="178"/>
      <c r="AI585" s="178"/>
      <c r="AJ585" s="178"/>
      <c r="AK585" s="178"/>
      <c r="AL585" s="178"/>
      <c r="AM585" s="178"/>
      <c r="AN585" s="178"/>
      <c r="AO585" s="178"/>
      <c r="AP585" s="178"/>
      <c r="AQ585" s="178"/>
      <c r="AR585" s="178"/>
      <c r="AS585" s="178"/>
    </row>
    <row r="586" spans="1:45" s="21" customFormat="1" x14ac:dyDescent="0.4">
      <c r="A586" s="27"/>
      <c r="B586" s="645"/>
      <c r="C586" s="645"/>
      <c r="D586" s="131"/>
      <c r="F586" s="178"/>
      <c r="G586" s="178"/>
      <c r="H586" s="127"/>
      <c r="I586" s="178"/>
      <c r="J586" s="178"/>
      <c r="K586" s="178"/>
      <c r="L586" s="178"/>
      <c r="M586" s="178"/>
      <c r="N586" s="178"/>
      <c r="O586" s="178"/>
      <c r="P586" s="178"/>
      <c r="Q586" s="178"/>
      <c r="R586" s="178"/>
      <c r="S586" s="178"/>
      <c r="T586" s="178"/>
      <c r="U586" s="178"/>
      <c r="V586" s="410"/>
      <c r="Z586" s="178"/>
      <c r="AA586" s="178"/>
      <c r="AB586" s="178"/>
      <c r="AC586" s="178"/>
      <c r="AD586" s="178"/>
      <c r="AE586" s="178"/>
      <c r="AF586" s="178"/>
      <c r="AG586" s="178"/>
      <c r="AH586" s="178"/>
      <c r="AI586" s="178"/>
      <c r="AJ586" s="178"/>
      <c r="AK586" s="178"/>
      <c r="AL586" s="178"/>
      <c r="AM586" s="178"/>
      <c r="AN586" s="178"/>
      <c r="AO586" s="178"/>
      <c r="AP586" s="178"/>
      <c r="AQ586" s="178"/>
      <c r="AR586" s="178"/>
      <c r="AS586" s="178"/>
    </row>
    <row r="587" spans="1:45" s="21" customFormat="1" x14ac:dyDescent="0.4">
      <c r="A587" s="27"/>
      <c r="B587" s="645"/>
      <c r="C587" s="645"/>
      <c r="D587" s="131"/>
      <c r="F587" s="178"/>
      <c r="G587" s="178"/>
      <c r="H587" s="127"/>
      <c r="I587" s="178"/>
      <c r="J587" s="178"/>
      <c r="K587" s="178"/>
      <c r="L587" s="178"/>
      <c r="M587" s="178"/>
      <c r="N587" s="178"/>
      <c r="O587" s="178"/>
      <c r="P587" s="178"/>
      <c r="Q587" s="178"/>
      <c r="R587" s="178"/>
      <c r="S587" s="178"/>
      <c r="T587" s="178"/>
      <c r="U587" s="178"/>
      <c r="V587" s="410"/>
      <c r="Z587" s="178"/>
      <c r="AA587" s="178"/>
      <c r="AB587" s="178"/>
      <c r="AC587" s="178"/>
      <c r="AD587" s="178"/>
      <c r="AE587" s="178"/>
      <c r="AF587" s="178"/>
      <c r="AG587" s="178"/>
      <c r="AH587" s="178"/>
      <c r="AI587" s="178"/>
      <c r="AJ587" s="178"/>
      <c r="AK587" s="178"/>
      <c r="AL587" s="178"/>
      <c r="AM587" s="178"/>
      <c r="AN587" s="178"/>
      <c r="AO587" s="178"/>
      <c r="AP587" s="178"/>
      <c r="AQ587" s="178"/>
      <c r="AR587" s="178"/>
      <c r="AS587" s="178"/>
    </row>
    <row r="588" spans="1:45" s="21" customFormat="1" x14ac:dyDescent="0.4">
      <c r="A588" s="27"/>
      <c r="B588" s="645"/>
      <c r="C588" s="645"/>
      <c r="D588" s="131"/>
      <c r="F588" s="178"/>
      <c r="G588" s="178"/>
      <c r="H588" s="127"/>
      <c r="I588" s="178"/>
      <c r="J588" s="178"/>
      <c r="K588" s="178"/>
      <c r="L588" s="178"/>
      <c r="M588" s="178"/>
      <c r="N588" s="178"/>
      <c r="O588" s="178"/>
      <c r="P588" s="178"/>
      <c r="Q588" s="178"/>
      <c r="R588" s="178"/>
      <c r="S588" s="178"/>
      <c r="T588" s="178"/>
      <c r="U588" s="178"/>
      <c r="V588" s="410"/>
      <c r="Z588" s="178"/>
      <c r="AA588" s="178"/>
      <c r="AB588" s="178"/>
      <c r="AC588" s="178"/>
      <c r="AD588" s="178"/>
      <c r="AE588" s="178"/>
      <c r="AF588" s="178"/>
      <c r="AG588" s="178"/>
      <c r="AH588" s="178"/>
      <c r="AI588" s="178"/>
      <c r="AJ588" s="178"/>
      <c r="AK588" s="178"/>
      <c r="AL588" s="178"/>
      <c r="AM588" s="178"/>
      <c r="AN588" s="178"/>
      <c r="AO588" s="178"/>
      <c r="AP588" s="178"/>
      <c r="AQ588" s="178"/>
      <c r="AR588" s="178"/>
      <c r="AS588" s="178"/>
    </row>
    <row r="589" spans="1:45" s="21" customFormat="1" x14ac:dyDescent="0.4">
      <c r="A589" s="27"/>
      <c r="B589" s="645"/>
      <c r="C589" s="645"/>
      <c r="D589" s="131"/>
      <c r="F589" s="178"/>
      <c r="G589" s="178"/>
      <c r="H589" s="127"/>
      <c r="I589" s="178"/>
      <c r="J589" s="178"/>
      <c r="K589" s="178"/>
      <c r="L589" s="178"/>
      <c r="M589" s="178"/>
      <c r="N589" s="178"/>
      <c r="O589" s="178"/>
      <c r="P589" s="178"/>
      <c r="Q589" s="178"/>
      <c r="R589" s="178"/>
      <c r="S589" s="178"/>
      <c r="T589" s="178"/>
      <c r="U589" s="178"/>
      <c r="V589" s="410"/>
      <c r="Z589" s="178"/>
      <c r="AA589" s="178"/>
      <c r="AB589" s="178"/>
      <c r="AC589" s="178"/>
      <c r="AD589" s="178"/>
      <c r="AE589" s="178"/>
      <c r="AF589" s="178"/>
      <c r="AG589" s="178"/>
      <c r="AH589" s="178"/>
      <c r="AI589" s="178"/>
      <c r="AJ589" s="178"/>
      <c r="AK589" s="178"/>
      <c r="AL589" s="178"/>
      <c r="AM589" s="178"/>
      <c r="AN589" s="178"/>
      <c r="AO589" s="178"/>
      <c r="AP589" s="178"/>
      <c r="AQ589" s="178"/>
      <c r="AR589" s="178"/>
      <c r="AS589" s="178"/>
    </row>
    <row r="590" spans="1:45" s="21" customFormat="1" x14ac:dyDescent="0.4">
      <c r="A590" s="27"/>
      <c r="B590" s="645"/>
      <c r="C590" s="645"/>
      <c r="D590" s="131"/>
      <c r="F590" s="178"/>
      <c r="G590" s="178"/>
      <c r="H590" s="127"/>
      <c r="I590" s="178"/>
      <c r="J590" s="178"/>
      <c r="K590" s="178"/>
      <c r="L590" s="178"/>
      <c r="M590" s="178"/>
      <c r="N590" s="178"/>
      <c r="O590" s="178"/>
      <c r="P590" s="178"/>
      <c r="Q590" s="178"/>
      <c r="R590" s="178"/>
      <c r="S590" s="178"/>
      <c r="T590" s="178"/>
      <c r="U590" s="178"/>
      <c r="V590" s="410"/>
      <c r="Z590" s="178"/>
      <c r="AA590" s="178"/>
      <c r="AB590" s="178"/>
      <c r="AC590" s="178"/>
      <c r="AD590" s="178"/>
      <c r="AE590" s="178"/>
      <c r="AF590" s="178"/>
      <c r="AG590" s="178"/>
      <c r="AH590" s="178"/>
      <c r="AI590" s="178"/>
      <c r="AJ590" s="178"/>
      <c r="AK590" s="178"/>
      <c r="AL590" s="178"/>
      <c r="AM590" s="178"/>
      <c r="AN590" s="178"/>
      <c r="AO590" s="178"/>
      <c r="AP590" s="178"/>
      <c r="AQ590" s="178"/>
      <c r="AR590" s="178"/>
      <c r="AS590" s="178"/>
    </row>
    <row r="591" spans="1:45" s="21" customFormat="1" x14ac:dyDescent="0.4">
      <c r="A591" s="27"/>
      <c r="B591" s="645"/>
      <c r="C591" s="645"/>
      <c r="D591" s="131"/>
      <c r="F591" s="178"/>
      <c r="G591" s="178"/>
      <c r="H591" s="127"/>
      <c r="I591" s="178"/>
      <c r="J591" s="178"/>
      <c r="K591" s="178"/>
      <c r="L591" s="178"/>
      <c r="M591" s="178"/>
      <c r="N591" s="178"/>
      <c r="O591" s="178"/>
      <c r="P591" s="178"/>
      <c r="Q591" s="178"/>
      <c r="R591" s="178"/>
      <c r="S591" s="178"/>
      <c r="T591" s="178"/>
      <c r="U591" s="178"/>
      <c r="V591" s="410"/>
      <c r="Z591" s="178"/>
      <c r="AA591" s="178"/>
      <c r="AB591" s="178"/>
      <c r="AC591" s="178"/>
      <c r="AD591" s="178"/>
      <c r="AE591" s="178"/>
      <c r="AF591" s="178"/>
      <c r="AG591" s="178"/>
      <c r="AH591" s="178"/>
      <c r="AI591" s="178"/>
      <c r="AJ591" s="178"/>
      <c r="AK591" s="178"/>
      <c r="AL591" s="178"/>
      <c r="AM591" s="178"/>
      <c r="AN591" s="178"/>
      <c r="AO591" s="178"/>
      <c r="AP591" s="178"/>
      <c r="AQ591" s="178"/>
      <c r="AR591" s="178"/>
      <c r="AS591" s="178"/>
    </row>
    <row r="592" spans="1:45" s="21" customFormat="1" x14ac:dyDescent="0.4">
      <c r="A592" s="27"/>
      <c r="B592" s="645"/>
      <c r="C592" s="645"/>
      <c r="D592" s="131"/>
      <c r="F592" s="178"/>
      <c r="G592" s="178"/>
      <c r="H592" s="127"/>
      <c r="I592" s="178"/>
      <c r="J592" s="178"/>
      <c r="K592" s="178"/>
      <c r="L592" s="178"/>
      <c r="M592" s="178"/>
      <c r="N592" s="178"/>
      <c r="O592" s="178"/>
      <c r="P592" s="178"/>
      <c r="Q592" s="178"/>
      <c r="R592" s="178"/>
      <c r="S592" s="178"/>
      <c r="T592" s="178"/>
      <c r="U592" s="178"/>
      <c r="V592" s="410"/>
      <c r="Z592" s="178"/>
      <c r="AA592" s="178"/>
      <c r="AB592" s="178"/>
      <c r="AC592" s="178"/>
      <c r="AD592" s="178"/>
      <c r="AE592" s="178"/>
      <c r="AF592" s="178"/>
      <c r="AG592" s="178"/>
      <c r="AH592" s="178"/>
      <c r="AI592" s="178"/>
      <c r="AJ592" s="178"/>
      <c r="AK592" s="178"/>
      <c r="AL592" s="178"/>
      <c r="AM592" s="178"/>
      <c r="AN592" s="178"/>
      <c r="AO592" s="178"/>
      <c r="AP592" s="178"/>
      <c r="AQ592" s="178"/>
      <c r="AR592" s="178"/>
      <c r="AS592" s="178"/>
    </row>
    <row r="593" spans="1:45" s="743" customFormat="1" ht="27" customHeight="1" x14ac:dyDescent="0.4">
      <c r="A593" s="742"/>
      <c r="B593" s="742"/>
      <c r="C593" s="742"/>
      <c r="E593" s="744" t="str">
        <f>UPPER('Talnagögn | Numerical Data'!$E$14)</f>
        <v>LOSUNARSPÁ: SVIÐSMYND BYGGÐ Á AÐGERÐUM STJÓRNVALDA</v>
      </c>
      <c r="F593" s="745"/>
      <c r="G593" s="745"/>
      <c r="H593" s="745"/>
      <c r="I593" s="745"/>
      <c r="J593" s="745"/>
      <c r="K593" s="745"/>
      <c r="L593" s="745"/>
      <c r="M593" s="745"/>
      <c r="N593" s="745"/>
      <c r="O593" s="745"/>
      <c r="P593" s="745"/>
      <c r="Q593" s="745"/>
      <c r="R593" s="745"/>
      <c r="S593" s="745"/>
      <c r="T593" s="745"/>
      <c r="U593" s="745"/>
      <c r="V593" s="746"/>
      <c r="Y593" s="744" t="str">
        <f>UPPER('Talnagögn | Numerical Data'!$G$14)</f>
        <v>EMISSION PROJECTIONS: GOVERNMENT POLICY-BASED SCENARIO</v>
      </c>
      <c r="Z593" s="745"/>
      <c r="AA593" s="745"/>
      <c r="AB593" s="745"/>
      <c r="AC593" s="745"/>
      <c r="AD593" s="745"/>
      <c r="AE593" s="745"/>
      <c r="AF593" s="745"/>
      <c r="AG593" s="745"/>
      <c r="AH593" s="745"/>
      <c r="AI593" s="745"/>
      <c r="AJ593" s="745"/>
      <c r="AK593" s="745"/>
      <c r="AL593" s="745"/>
      <c r="AM593" s="745"/>
      <c r="AN593" s="745"/>
      <c r="AO593" s="745"/>
      <c r="AP593" s="745"/>
      <c r="AQ593" s="745"/>
      <c r="AR593" s="745"/>
      <c r="AS593" s="745"/>
    </row>
    <row r="594" spans="1:45" s="21" customFormat="1" x14ac:dyDescent="0.4">
      <c r="A594" s="27"/>
      <c r="B594" s="645"/>
      <c r="C594" s="645"/>
      <c r="D594" s="131"/>
      <c r="F594" s="178"/>
      <c r="G594" s="178"/>
      <c r="H594" s="127"/>
      <c r="I594" s="178"/>
      <c r="J594" s="178"/>
      <c r="K594" s="178"/>
      <c r="L594" s="178"/>
      <c r="M594" s="178"/>
      <c r="N594" s="178"/>
      <c r="O594" s="178"/>
      <c r="P594" s="178"/>
      <c r="Q594" s="178"/>
      <c r="R594" s="178"/>
      <c r="S594" s="178"/>
      <c r="T594" s="178"/>
      <c r="U594" s="178"/>
      <c r="V594" s="410"/>
      <c r="Z594" s="178"/>
      <c r="AA594" s="178"/>
      <c r="AB594" s="178"/>
      <c r="AC594" s="178"/>
      <c r="AD594" s="178"/>
      <c r="AE594" s="178"/>
      <c r="AF594" s="178"/>
      <c r="AG594" s="178"/>
      <c r="AH594" s="178"/>
      <c r="AI594" s="178"/>
      <c r="AJ594" s="178"/>
      <c r="AK594" s="178"/>
      <c r="AL594" s="178"/>
      <c r="AM594" s="178"/>
      <c r="AN594" s="178"/>
      <c r="AO594" s="178"/>
      <c r="AP594" s="178"/>
      <c r="AQ594" s="178"/>
      <c r="AR594" s="178"/>
      <c r="AS594" s="178"/>
    </row>
    <row r="595" spans="1:45" s="21" customFormat="1" x14ac:dyDescent="0.4">
      <c r="A595" s="27"/>
      <c r="B595" s="645"/>
      <c r="C595" s="645"/>
      <c r="D595" s="131"/>
      <c r="F595" s="178"/>
      <c r="G595" s="178"/>
      <c r="H595" s="127"/>
      <c r="I595" s="178"/>
      <c r="J595" s="178"/>
      <c r="K595" s="178"/>
      <c r="L595" s="178"/>
      <c r="M595" s="178"/>
      <c r="N595" s="178"/>
      <c r="O595" s="178"/>
      <c r="P595" s="178"/>
      <c r="Q595" s="178"/>
      <c r="R595" s="178"/>
      <c r="S595" s="178"/>
      <c r="T595" s="178"/>
      <c r="U595" s="178"/>
      <c r="V595" s="410"/>
      <c r="Z595" s="178"/>
      <c r="AA595" s="178"/>
      <c r="AB595" s="178"/>
      <c r="AC595" s="178"/>
      <c r="AD595" s="178"/>
      <c r="AE595" s="178"/>
      <c r="AF595" s="178"/>
      <c r="AG595" s="178"/>
      <c r="AH595" s="178"/>
      <c r="AI595" s="178"/>
      <c r="AJ595" s="178"/>
      <c r="AK595" s="178"/>
      <c r="AL595" s="178"/>
      <c r="AM595" s="178"/>
      <c r="AN595" s="178"/>
      <c r="AO595" s="178"/>
      <c r="AP595" s="178"/>
      <c r="AQ595" s="178"/>
      <c r="AR595" s="178"/>
      <c r="AS595" s="178"/>
    </row>
    <row r="596" spans="1:45" s="21" customFormat="1" x14ac:dyDescent="0.4">
      <c r="A596" s="27"/>
      <c r="B596" s="645"/>
      <c r="C596" s="645"/>
      <c r="D596" s="131"/>
      <c r="F596" s="178"/>
      <c r="G596" s="178"/>
      <c r="H596" s="127"/>
      <c r="I596" s="178"/>
      <c r="J596" s="178"/>
      <c r="K596" s="178"/>
      <c r="L596" s="178"/>
      <c r="M596" s="178"/>
      <c r="N596" s="178"/>
      <c r="O596" s="178"/>
      <c r="P596" s="178"/>
      <c r="Q596" s="178"/>
      <c r="R596" s="178"/>
      <c r="S596" s="178"/>
      <c r="T596" s="178"/>
      <c r="U596" s="178"/>
      <c r="V596" s="410"/>
      <c r="Z596" s="178"/>
      <c r="AA596" s="178"/>
      <c r="AB596" s="178"/>
      <c r="AC596" s="178"/>
      <c r="AD596" s="178"/>
      <c r="AE596" s="178"/>
      <c r="AF596" s="178"/>
      <c r="AG596" s="178"/>
      <c r="AH596" s="178"/>
      <c r="AI596" s="178"/>
      <c r="AJ596" s="178"/>
      <c r="AK596" s="178"/>
      <c r="AL596" s="178"/>
      <c r="AM596" s="178"/>
      <c r="AN596" s="178"/>
      <c r="AO596" s="178"/>
      <c r="AP596" s="178"/>
      <c r="AQ596" s="178"/>
      <c r="AR596" s="178"/>
      <c r="AS596" s="178"/>
    </row>
    <row r="597" spans="1:45" s="21" customFormat="1" x14ac:dyDescent="0.4">
      <c r="A597" s="27"/>
      <c r="B597" s="645"/>
      <c r="C597" s="645"/>
      <c r="D597" s="131"/>
      <c r="F597" s="178"/>
      <c r="G597" s="178"/>
      <c r="H597" s="127"/>
      <c r="I597" s="178"/>
      <c r="J597" s="178"/>
      <c r="K597" s="178"/>
      <c r="L597" s="178"/>
      <c r="M597" s="178"/>
      <c r="N597" s="178"/>
      <c r="O597" s="178"/>
      <c r="P597" s="178"/>
      <c r="Q597" s="178"/>
      <c r="R597" s="178"/>
      <c r="S597" s="178"/>
      <c r="T597" s="178"/>
      <c r="U597" s="178"/>
      <c r="V597" s="410"/>
      <c r="Z597" s="178"/>
      <c r="AA597" s="178"/>
      <c r="AB597" s="178"/>
      <c r="AC597" s="178"/>
      <c r="AD597" s="178"/>
      <c r="AE597" s="178"/>
      <c r="AF597" s="178"/>
      <c r="AG597" s="178"/>
      <c r="AH597" s="178"/>
      <c r="AI597" s="178"/>
      <c r="AJ597" s="178"/>
      <c r="AK597" s="178"/>
      <c r="AL597" s="178"/>
      <c r="AM597" s="178"/>
      <c r="AN597" s="178"/>
      <c r="AO597" s="178"/>
      <c r="AP597" s="178"/>
      <c r="AQ597" s="178"/>
      <c r="AR597" s="178"/>
      <c r="AS597" s="178"/>
    </row>
    <row r="598" spans="1:45" s="21" customFormat="1" x14ac:dyDescent="0.4">
      <c r="A598" s="27"/>
      <c r="B598" s="645"/>
      <c r="C598" s="645"/>
      <c r="D598" s="131"/>
      <c r="F598" s="178"/>
      <c r="G598" s="178"/>
      <c r="H598" s="127"/>
      <c r="I598" s="178"/>
      <c r="J598" s="178"/>
      <c r="K598" s="178"/>
      <c r="L598" s="178"/>
      <c r="M598" s="178"/>
      <c r="N598" s="178"/>
      <c r="O598" s="178"/>
      <c r="P598" s="178"/>
      <c r="Q598" s="178"/>
      <c r="R598" s="178"/>
      <c r="S598" s="178"/>
      <c r="T598" s="178"/>
      <c r="U598" s="178"/>
      <c r="V598" s="410"/>
      <c r="Z598" s="178"/>
      <c r="AA598" s="178"/>
      <c r="AB598" s="178"/>
      <c r="AC598" s="178"/>
      <c r="AD598" s="178"/>
      <c r="AE598" s="178"/>
      <c r="AF598" s="178"/>
      <c r="AG598" s="178"/>
      <c r="AH598" s="178"/>
      <c r="AI598" s="178"/>
      <c r="AJ598" s="178"/>
      <c r="AK598" s="178"/>
      <c r="AL598" s="178"/>
      <c r="AM598" s="178"/>
      <c r="AN598" s="178"/>
      <c r="AO598" s="178"/>
      <c r="AP598" s="178"/>
      <c r="AQ598" s="178"/>
      <c r="AR598" s="178"/>
      <c r="AS598" s="178"/>
    </row>
    <row r="599" spans="1:45" s="21" customFormat="1" x14ac:dyDescent="0.4">
      <c r="A599" s="27"/>
      <c r="B599" s="645"/>
      <c r="C599" s="645"/>
      <c r="D599" s="131"/>
      <c r="F599" s="178"/>
      <c r="G599" s="178"/>
      <c r="H599" s="127"/>
      <c r="I599" s="178"/>
      <c r="J599" s="178"/>
      <c r="K599" s="178"/>
      <c r="L599" s="178"/>
      <c r="M599" s="178"/>
      <c r="N599" s="178"/>
      <c r="O599" s="178"/>
      <c r="P599" s="178"/>
      <c r="Q599" s="178"/>
      <c r="R599" s="178"/>
      <c r="S599" s="178"/>
      <c r="T599" s="178"/>
      <c r="U599" s="178"/>
      <c r="V599" s="410"/>
      <c r="Z599" s="178"/>
      <c r="AA599" s="178"/>
      <c r="AB599" s="178"/>
      <c r="AC599" s="178"/>
      <c r="AD599" s="178"/>
      <c r="AE599" s="178"/>
      <c r="AF599" s="178"/>
      <c r="AG599" s="178"/>
      <c r="AH599" s="178"/>
      <c r="AI599" s="178"/>
      <c r="AJ599" s="178"/>
      <c r="AK599" s="178"/>
      <c r="AL599" s="178"/>
      <c r="AM599" s="178"/>
      <c r="AN599" s="178"/>
      <c r="AO599" s="178"/>
      <c r="AP599" s="178"/>
      <c r="AQ599" s="178"/>
      <c r="AR599" s="178"/>
      <c r="AS599" s="178"/>
    </row>
    <row r="600" spans="1:45" s="21" customFormat="1" x14ac:dyDescent="0.4">
      <c r="A600" s="27"/>
      <c r="B600" s="645"/>
      <c r="C600" s="645"/>
      <c r="D600" s="131"/>
      <c r="F600" s="178"/>
      <c r="G600" s="178"/>
      <c r="H600" s="127"/>
      <c r="I600" s="178"/>
      <c r="J600" s="178"/>
      <c r="K600" s="178"/>
      <c r="L600" s="178"/>
      <c r="M600" s="178"/>
      <c r="N600" s="178"/>
      <c r="O600" s="178"/>
      <c r="P600" s="178"/>
      <c r="Q600" s="178"/>
      <c r="R600" s="178"/>
      <c r="S600" s="178"/>
      <c r="T600" s="178"/>
      <c r="U600" s="178"/>
      <c r="V600" s="410"/>
      <c r="Z600" s="178"/>
      <c r="AA600" s="178"/>
      <c r="AB600" s="178"/>
      <c r="AC600" s="178"/>
      <c r="AD600" s="178"/>
      <c r="AE600" s="178"/>
      <c r="AF600" s="178"/>
      <c r="AG600" s="178"/>
      <c r="AH600" s="178"/>
      <c r="AI600" s="178"/>
      <c r="AJ600" s="178"/>
      <c r="AK600" s="178"/>
      <c r="AL600" s="178"/>
      <c r="AM600" s="178"/>
      <c r="AN600" s="178"/>
      <c r="AO600" s="178"/>
      <c r="AP600" s="178"/>
      <c r="AQ600" s="178"/>
      <c r="AR600" s="178"/>
      <c r="AS600" s="178"/>
    </row>
    <row r="601" spans="1:45" s="21" customFormat="1" x14ac:dyDescent="0.4">
      <c r="A601" s="27"/>
      <c r="B601" s="645"/>
      <c r="C601" s="645"/>
      <c r="D601" s="131"/>
      <c r="F601" s="178"/>
      <c r="G601" s="178"/>
      <c r="H601" s="127"/>
      <c r="I601" s="178"/>
      <c r="J601" s="178"/>
      <c r="K601" s="178"/>
      <c r="L601" s="178"/>
      <c r="M601" s="178"/>
      <c r="N601" s="178"/>
      <c r="O601" s="178"/>
      <c r="P601" s="178"/>
      <c r="Q601" s="178"/>
      <c r="R601" s="178"/>
      <c r="S601" s="178"/>
      <c r="T601" s="178"/>
      <c r="U601" s="178"/>
      <c r="V601" s="410"/>
      <c r="Z601" s="178"/>
      <c r="AA601" s="178"/>
      <c r="AB601" s="178"/>
      <c r="AC601" s="178"/>
      <c r="AD601" s="178"/>
      <c r="AE601" s="178"/>
      <c r="AF601" s="178"/>
      <c r="AG601" s="178"/>
      <c r="AH601" s="178"/>
      <c r="AI601" s="178"/>
      <c r="AJ601" s="178"/>
      <c r="AK601" s="178"/>
      <c r="AL601" s="178"/>
      <c r="AM601" s="178"/>
      <c r="AN601" s="178"/>
      <c r="AO601" s="178"/>
      <c r="AP601" s="178"/>
      <c r="AQ601" s="178"/>
      <c r="AR601" s="178"/>
      <c r="AS601" s="178"/>
    </row>
    <row r="602" spans="1:45" s="21" customFormat="1" x14ac:dyDescent="0.4">
      <c r="A602" s="27"/>
      <c r="B602" s="645"/>
      <c r="C602" s="645"/>
      <c r="D602" s="131"/>
      <c r="F602" s="178"/>
      <c r="G602" s="178"/>
      <c r="H602" s="127"/>
      <c r="I602" s="178"/>
      <c r="J602" s="178"/>
      <c r="K602" s="178"/>
      <c r="L602" s="178"/>
      <c r="M602" s="178"/>
      <c r="N602" s="178"/>
      <c r="O602" s="178"/>
      <c r="P602" s="178"/>
      <c r="Q602" s="178"/>
      <c r="R602" s="178"/>
      <c r="S602" s="178"/>
      <c r="T602" s="178"/>
      <c r="U602" s="178"/>
      <c r="V602" s="410"/>
      <c r="Z602" s="178"/>
      <c r="AA602" s="178"/>
      <c r="AB602" s="178"/>
      <c r="AC602" s="178"/>
      <c r="AD602" s="178"/>
      <c r="AE602" s="178"/>
      <c r="AF602" s="178"/>
      <c r="AG602" s="178"/>
      <c r="AH602" s="178"/>
      <c r="AI602" s="178"/>
      <c r="AJ602" s="178"/>
      <c r="AK602" s="178"/>
      <c r="AL602" s="178"/>
      <c r="AM602" s="178"/>
      <c r="AN602" s="178"/>
      <c r="AO602" s="178"/>
      <c r="AP602" s="178"/>
      <c r="AQ602" s="178"/>
      <c r="AR602" s="178"/>
      <c r="AS602" s="178"/>
    </row>
    <row r="603" spans="1:45" s="21" customFormat="1" x14ac:dyDescent="0.4">
      <c r="A603" s="27"/>
      <c r="B603" s="645"/>
      <c r="C603" s="645"/>
      <c r="D603" s="131"/>
      <c r="F603" s="178"/>
      <c r="G603" s="178"/>
      <c r="H603" s="127"/>
      <c r="I603" s="178"/>
      <c r="J603" s="178"/>
      <c r="K603" s="178"/>
      <c r="L603" s="178"/>
      <c r="M603" s="178"/>
      <c r="N603" s="178"/>
      <c r="O603" s="178"/>
      <c r="P603" s="178"/>
      <c r="Q603" s="178"/>
      <c r="R603" s="178"/>
      <c r="S603" s="178"/>
      <c r="T603" s="178"/>
      <c r="U603" s="178"/>
      <c r="V603" s="410"/>
      <c r="Z603" s="178"/>
      <c r="AA603" s="178"/>
      <c r="AB603" s="178"/>
      <c r="AC603" s="178"/>
      <c r="AD603" s="178"/>
      <c r="AE603" s="178"/>
      <c r="AF603" s="178"/>
      <c r="AG603" s="178"/>
      <c r="AH603" s="178"/>
      <c r="AI603" s="178"/>
      <c r="AJ603" s="178"/>
      <c r="AK603" s="178"/>
      <c r="AL603" s="178"/>
      <c r="AM603" s="178"/>
      <c r="AN603" s="178"/>
      <c r="AO603" s="178"/>
      <c r="AP603" s="178"/>
      <c r="AQ603" s="178"/>
      <c r="AR603" s="178"/>
      <c r="AS603" s="178"/>
    </row>
    <row r="604" spans="1:45" s="21" customFormat="1" x14ac:dyDescent="0.4">
      <c r="A604" s="27"/>
      <c r="B604" s="645"/>
      <c r="C604" s="645"/>
      <c r="D604" s="131"/>
      <c r="F604" s="178"/>
      <c r="G604" s="178"/>
      <c r="H604" s="127"/>
      <c r="I604" s="178"/>
      <c r="J604" s="178"/>
      <c r="K604" s="178"/>
      <c r="L604" s="178"/>
      <c r="M604" s="178"/>
      <c r="N604" s="178"/>
      <c r="O604" s="178"/>
      <c r="P604" s="178"/>
      <c r="Q604" s="178"/>
      <c r="R604" s="178"/>
      <c r="S604" s="178"/>
      <c r="T604" s="178"/>
      <c r="U604" s="178"/>
      <c r="V604" s="410"/>
      <c r="Z604" s="178"/>
      <c r="AA604" s="178"/>
      <c r="AB604" s="178"/>
      <c r="AC604" s="178"/>
      <c r="AD604" s="178"/>
      <c r="AE604" s="178"/>
      <c r="AF604" s="178"/>
      <c r="AG604" s="178"/>
      <c r="AH604" s="178"/>
      <c r="AI604" s="178"/>
      <c r="AJ604" s="178"/>
      <c r="AK604" s="178"/>
      <c r="AL604" s="178"/>
      <c r="AM604" s="178"/>
      <c r="AN604" s="178"/>
      <c r="AO604" s="178"/>
      <c r="AP604" s="178"/>
      <c r="AQ604" s="178"/>
      <c r="AR604" s="178"/>
      <c r="AS604" s="178"/>
    </row>
    <row r="605" spans="1:45" s="21" customFormat="1" x14ac:dyDescent="0.4">
      <c r="A605" s="27"/>
      <c r="B605" s="645"/>
      <c r="C605" s="645"/>
      <c r="D605" s="131"/>
      <c r="F605" s="178"/>
      <c r="G605" s="178"/>
      <c r="H605" s="127"/>
      <c r="I605" s="178"/>
      <c r="J605" s="178"/>
      <c r="K605" s="178"/>
      <c r="L605" s="178"/>
      <c r="M605" s="178"/>
      <c r="N605" s="178"/>
      <c r="O605" s="178"/>
      <c r="P605" s="178"/>
      <c r="Q605" s="178"/>
      <c r="R605" s="178"/>
      <c r="S605" s="178"/>
      <c r="T605" s="178"/>
      <c r="U605" s="178"/>
      <c r="V605" s="410"/>
      <c r="Z605" s="178"/>
      <c r="AA605" s="178"/>
      <c r="AB605" s="178"/>
      <c r="AC605" s="178"/>
      <c r="AD605" s="178"/>
      <c r="AE605" s="178"/>
      <c r="AF605" s="178"/>
      <c r="AG605" s="178"/>
      <c r="AH605" s="178"/>
      <c r="AI605" s="178"/>
      <c r="AJ605" s="178"/>
      <c r="AK605" s="178"/>
      <c r="AL605" s="178"/>
      <c r="AM605" s="178"/>
      <c r="AN605" s="178"/>
      <c r="AO605" s="178"/>
      <c r="AP605" s="178"/>
      <c r="AQ605" s="178"/>
      <c r="AR605" s="178"/>
      <c r="AS605" s="178"/>
    </row>
    <row r="606" spans="1:45" s="21" customFormat="1" x14ac:dyDescent="0.4">
      <c r="A606" s="27"/>
      <c r="B606" s="645"/>
      <c r="C606" s="645"/>
      <c r="D606" s="131"/>
      <c r="F606" s="178"/>
      <c r="G606" s="178"/>
      <c r="H606" s="127"/>
      <c r="I606" s="178"/>
      <c r="J606" s="178"/>
      <c r="K606" s="178"/>
      <c r="L606" s="178"/>
      <c r="M606" s="178"/>
      <c r="N606" s="178"/>
      <c r="O606" s="178"/>
      <c r="P606" s="178"/>
      <c r="Q606" s="178"/>
      <c r="R606" s="178"/>
      <c r="S606" s="178"/>
      <c r="T606" s="178"/>
      <c r="U606" s="178"/>
      <c r="V606" s="410"/>
      <c r="Z606" s="178"/>
      <c r="AA606" s="178"/>
      <c r="AB606" s="178"/>
      <c r="AC606" s="178"/>
      <c r="AD606" s="178"/>
      <c r="AE606" s="178"/>
      <c r="AF606" s="178"/>
      <c r="AG606" s="178"/>
      <c r="AH606" s="178"/>
      <c r="AI606" s="178"/>
      <c r="AJ606" s="178"/>
      <c r="AK606" s="178"/>
      <c r="AL606" s="178"/>
      <c r="AM606" s="178"/>
      <c r="AN606" s="178"/>
      <c r="AO606" s="178"/>
      <c r="AP606" s="178"/>
      <c r="AQ606" s="178"/>
      <c r="AR606" s="178"/>
      <c r="AS606" s="178"/>
    </row>
    <row r="607" spans="1:45" s="21" customFormat="1" x14ac:dyDescent="0.4">
      <c r="A607" s="27"/>
      <c r="B607" s="645"/>
      <c r="C607" s="645"/>
      <c r="D607" s="131"/>
      <c r="F607" s="178"/>
      <c r="G607" s="178"/>
      <c r="H607" s="127"/>
      <c r="I607" s="178"/>
      <c r="J607" s="178"/>
      <c r="K607" s="178"/>
      <c r="L607" s="178"/>
      <c r="M607" s="178"/>
      <c r="N607" s="178"/>
      <c r="O607" s="178"/>
      <c r="P607" s="178"/>
      <c r="Q607" s="178"/>
      <c r="R607" s="178"/>
      <c r="S607" s="178"/>
      <c r="T607" s="178"/>
      <c r="U607" s="178"/>
      <c r="V607" s="410"/>
      <c r="Z607" s="178"/>
      <c r="AA607" s="178"/>
      <c r="AB607" s="178"/>
      <c r="AC607" s="178"/>
      <c r="AD607" s="178"/>
      <c r="AE607" s="178"/>
      <c r="AF607" s="178"/>
      <c r="AG607" s="178"/>
      <c r="AH607" s="178"/>
      <c r="AI607" s="178"/>
      <c r="AJ607" s="178"/>
      <c r="AK607" s="178"/>
      <c r="AL607" s="178"/>
      <c r="AM607" s="178"/>
      <c r="AN607" s="178"/>
      <c r="AO607" s="178"/>
      <c r="AP607" s="178"/>
      <c r="AQ607" s="178"/>
      <c r="AR607" s="178"/>
      <c r="AS607" s="178"/>
    </row>
    <row r="608" spans="1:45" s="21" customFormat="1" x14ac:dyDescent="0.4">
      <c r="A608" s="27"/>
      <c r="B608" s="645"/>
      <c r="C608" s="645"/>
      <c r="D608" s="131"/>
      <c r="F608" s="178"/>
      <c r="G608" s="178"/>
      <c r="H608" s="127"/>
      <c r="I608" s="178"/>
      <c r="J608" s="178"/>
      <c r="K608" s="178"/>
      <c r="L608" s="178"/>
      <c r="M608" s="178"/>
      <c r="N608" s="178"/>
      <c r="O608" s="178"/>
      <c r="P608" s="178"/>
      <c r="Q608" s="178"/>
      <c r="R608" s="178"/>
      <c r="S608" s="178"/>
      <c r="T608" s="178"/>
      <c r="U608" s="178"/>
      <c r="V608" s="410"/>
      <c r="Z608" s="178"/>
      <c r="AA608" s="178"/>
      <c r="AB608" s="178"/>
      <c r="AC608" s="178"/>
      <c r="AD608" s="178"/>
      <c r="AE608" s="178"/>
      <c r="AF608" s="178"/>
      <c r="AG608" s="178"/>
      <c r="AH608" s="178"/>
      <c r="AI608" s="178"/>
      <c r="AJ608" s="178"/>
      <c r="AK608" s="178"/>
      <c r="AL608" s="178"/>
      <c r="AM608" s="178"/>
      <c r="AN608" s="178"/>
      <c r="AO608" s="178"/>
      <c r="AP608" s="178"/>
      <c r="AQ608" s="178"/>
      <c r="AR608" s="178"/>
      <c r="AS608" s="178"/>
    </row>
    <row r="609" spans="1:45" s="21" customFormat="1" x14ac:dyDescent="0.4">
      <c r="A609" s="27"/>
      <c r="B609" s="645"/>
      <c r="C609" s="645"/>
      <c r="D609" s="131"/>
      <c r="F609" s="178"/>
      <c r="G609" s="178"/>
      <c r="H609" s="127"/>
      <c r="I609" s="178"/>
      <c r="J609" s="178"/>
      <c r="K609" s="178"/>
      <c r="L609" s="178"/>
      <c r="M609" s="178"/>
      <c r="N609" s="178"/>
      <c r="O609" s="178"/>
      <c r="P609" s="178"/>
      <c r="Q609" s="178"/>
      <c r="R609" s="178"/>
      <c r="S609" s="178"/>
      <c r="T609" s="178"/>
      <c r="U609" s="178"/>
      <c r="V609" s="410"/>
      <c r="Z609" s="178"/>
      <c r="AA609" s="178"/>
      <c r="AB609" s="178"/>
      <c r="AC609" s="178"/>
      <c r="AD609" s="178"/>
      <c r="AE609" s="178"/>
      <c r="AF609" s="178"/>
      <c r="AG609" s="178"/>
      <c r="AH609" s="178"/>
      <c r="AI609" s="178"/>
      <c r="AJ609" s="178"/>
      <c r="AK609" s="178"/>
      <c r="AL609" s="178"/>
      <c r="AM609" s="178"/>
      <c r="AN609" s="178"/>
      <c r="AO609" s="178"/>
      <c r="AP609" s="178"/>
      <c r="AQ609" s="178"/>
      <c r="AR609" s="178"/>
      <c r="AS609" s="178"/>
    </row>
    <row r="610" spans="1:45" s="21" customFormat="1" x14ac:dyDescent="0.4">
      <c r="A610" s="27"/>
      <c r="B610" s="645"/>
      <c r="C610" s="645"/>
      <c r="D610" s="131"/>
      <c r="F610" s="178"/>
      <c r="G610" s="178"/>
      <c r="H610" s="127"/>
      <c r="I610" s="178"/>
      <c r="J610" s="178"/>
      <c r="K610" s="178"/>
      <c r="L610" s="178"/>
      <c r="M610" s="178"/>
      <c r="N610" s="178"/>
      <c r="O610" s="178"/>
      <c r="P610" s="178"/>
      <c r="Q610" s="178"/>
      <c r="R610" s="178"/>
      <c r="S610" s="178"/>
      <c r="T610" s="178"/>
      <c r="U610" s="178"/>
      <c r="V610" s="410"/>
      <c r="Z610" s="178"/>
      <c r="AA610" s="178"/>
      <c r="AB610" s="178"/>
      <c r="AC610" s="178"/>
      <c r="AD610" s="178"/>
      <c r="AE610" s="178"/>
      <c r="AF610" s="178"/>
      <c r="AG610" s="178"/>
      <c r="AH610" s="178"/>
      <c r="AI610" s="178"/>
      <c r="AJ610" s="178"/>
      <c r="AK610" s="178"/>
      <c r="AL610" s="178"/>
      <c r="AM610" s="178"/>
      <c r="AN610" s="178"/>
      <c r="AO610" s="178"/>
      <c r="AP610" s="178"/>
      <c r="AQ610" s="178"/>
      <c r="AR610" s="178"/>
      <c r="AS610" s="178"/>
    </row>
    <row r="611" spans="1:45" s="21" customFormat="1" x14ac:dyDescent="0.4">
      <c r="A611" s="27"/>
      <c r="B611" s="645"/>
      <c r="C611" s="645"/>
      <c r="D611" s="131"/>
      <c r="F611" s="178"/>
      <c r="G611" s="178"/>
      <c r="H611" s="127"/>
      <c r="I611" s="178"/>
      <c r="J611" s="178"/>
      <c r="K611" s="178"/>
      <c r="L611" s="178"/>
      <c r="M611" s="178"/>
      <c r="N611" s="178"/>
      <c r="O611" s="178"/>
      <c r="P611" s="178"/>
      <c r="Q611" s="178"/>
      <c r="R611" s="178"/>
      <c r="S611" s="178"/>
      <c r="T611" s="178"/>
      <c r="U611" s="178"/>
      <c r="V611" s="410"/>
      <c r="Z611" s="178"/>
      <c r="AA611" s="178"/>
      <c r="AB611" s="178"/>
      <c r="AC611" s="178"/>
      <c r="AD611" s="178"/>
      <c r="AE611" s="178"/>
      <c r="AF611" s="178"/>
      <c r="AG611" s="178"/>
      <c r="AH611" s="178"/>
      <c r="AI611" s="178"/>
      <c r="AJ611" s="178"/>
      <c r="AK611" s="178"/>
      <c r="AL611" s="178"/>
      <c r="AM611" s="178"/>
      <c r="AN611" s="178"/>
      <c r="AO611" s="178"/>
      <c r="AP611" s="178"/>
      <c r="AQ611" s="178"/>
      <c r="AR611" s="178"/>
      <c r="AS611" s="178"/>
    </row>
    <row r="612" spans="1:45" s="21" customFormat="1" x14ac:dyDescent="0.4">
      <c r="A612" s="27"/>
      <c r="B612" s="645"/>
      <c r="C612" s="645"/>
      <c r="D612" s="131"/>
      <c r="F612" s="178"/>
      <c r="G612" s="178"/>
      <c r="H612" s="127"/>
      <c r="I612" s="178"/>
      <c r="J612" s="178"/>
      <c r="K612" s="178"/>
      <c r="L612" s="178"/>
      <c r="M612" s="178"/>
      <c r="N612" s="178"/>
      <c r="O612" s="178"/>
      <c r="P612" s="178"/>
      <c r="Q612" s="178"/>
      <c r="R612" s="178"/>
      <c r="S612" s="178"/>
      <c r="T612" s="178"/>
      <c r="U612" s="178"/>
      <c r="V612" s="410"/>
      <c r="Z612" s="178"/>
      <c r="AA612" s="178"/>
      <c r="AB612" s="178"/>
      <c r="AC612" s="178"/>
      <c r="AD612" s="178"/>
      <c r="AE612" s="178"/>
      <c r="AF612" s="178"/>
      <c r="AG612" s="178"/>
      <c r="AH612" s="178"/>
      <c r="AI612" s="178"/>
      <c r="AJ612" s="178"/>
      <c r="AK612" s="178"/>
      <c r="AL612" s="178"/>
      <c r="AM612" s="178"/>
      <c r="AN612" s="178"/>
      <c r="AO612" s="178"/>
      <c r="AP612" s="178"/>
      <c r="AQ612" s="178"/>
      <c r="AR612" s="178"/>
      <c r="AS612" s="178"/>
    </row>
    <row r="613" spans="1:45" s="21" customFormat="1" x14ac:dyDescent="0.4">
      <c r="A613" s="27"/>
      <c r="B613" s="645"/>
      <c r="C613" s="645"/>
      <c r="D613" s="131"/>
      <c r="F613" s="178"/>
      <c r="G613" s="178"/>
      <c r="H613" s="127"/>
      <c r="I613" s="178"/>
      <c r="J613" s="178"/>
      <c r="K613" s="178"/>
      <c r="L613" s="178"/>
      <c r="M613" s="178"/>
      <c r="N613" s="178"/>
      <c r="O613" s="178"/>
      <c r="P613" s="178"/>
      <c r="Q613" s="178"/>
      <c r="R613" s="178"/>
      <c r="S613" s="178"/>
      <c r="T613" s="178"/>
      <c r="U613" s="178"/>
      <c r="V613" s="410"/>
      <c r="Z613" s="178"/>
      <c r="AA613" s="178"/>
      <c r="AB613" s="178"/>
      <c r="AC613" s="178"/>
      <c r="AD613" s="178"/>
      <c r="AE613" s="178"/>
      <c r="AF613" s="178"/>
      <c r="AG613" s="178"/>
      <c r="AH613" s="178"/>
      <c r="AI613" s="178"/>
      <c r="AJ613" s="178"/>
      <c r="AK613" s="178"/>
      <c r="AL613" s="178"/>
      <c r="AM613" s="178"/>
      <c r="AN613" s="178"/>
      <c r="AO613" s="178"/>
      <c r="AP613" s="178"/>
      <c r="AQ613" s="178"/>
      <c r="AR613" s="178"/>
      <c r="AS613" s="178"/>
    </row>
    <row r="614" spans="1:45" s="21" customFormat="1" x14ac:dyDescent="0.4">
      <c r="A614" s="27"/>
      <c r="B614" s="645"/>
      <c r="C614" s="645"/>
      <c r="D614" s="131"/>
      <c r="F614" s="178"/>
      <c r="G614" s="178"/>
      <c r="H614" s="127"/>
      <c r="I614" s="178"/>
      <c r="J614" s="178"/>
      <c r="K614" s="178"/>
      <c r="L614" s="178"/>
      <c r="M614" s="178"/>
      <c r="N614" s="178"/>
      <c r="O614" s="178"/>
      <c r="P614" s="178"/>
      <c r="Q614" s="178"/>
      <c r="R614" s="178"/>
      <c r="S614" s="178"/>
      <c r="T614" s="178"/>
      <c r="U614" s="178"/>
      <c r="V614" s="410"/>
      <c r="Z614" s="178"/>
      <c r="AA614" s="178"/>
      <c r="AB614" s="178"/>
      <c r="AC614" s="178"/>
      <c r="AD614" s="178"/>
      <c r="AE614" s="178"/>
      <c r="AF614" s="178"/>
      <c r="AG614" s="178"/>
      <c r="AH614" s="178"/>
      <c r="AI614" s="178"/>
      <c r="AJ614" s="178"/>
      <c r="AK614" s="178"/>
      <c r="AL614" s="178"/>
      <c r="AM614" s="178"/>
      <c r="AN614" s="178"/>
      <c r="AO614" s="178"/>
      <c r="AP614" s="178"/>
      <c r="AQ614" s="178"/>
      <c r="AR614" s="178"/>
      <c r="AS614" s="178"/>
    </row>
    <row r="615" spans="1:45" s="21" customFormat="1" x14ac:dyDescent="0.4">
      <c r="A615" s="27"/>
      <c r="B615" s="645"/>
      <c r="C615" s="645"/>
      <c r="D615" s="131"/>
      <c r="F615" s="178"/>
      <c r="G615" s="178"/>
      <c r="H615" s="127"/>
      <c r="I615" s="178"/>
      <c r="J615" s="178"/>
      <c r="K615" s="178"/>
      <c r="L615" s="178"/>
      <c r="M615" s="178"/>
      <c r="N615" s="178"/>
      <c r="O615" s="178"/>
      <c r="P615" s="178"/>
      <c r="Q615" s="178"/>
      <c r="R615" s="178"/>
      <c r="S615" s="178"/>
      <c r="T615" s="178"/>
      <c r="U615" s="178"/>
      <c r="V615" s="410"/>
      <c r="Z615" s="178"/>
      <c r="AA615" s="178"/>
      <c r="AB615" s="178"/>
      <c r="AC615" s="178"/>
      <c r="AD615" s="178"/>
      <c r="AE615" s="178"/>
      <c r="AF615" s="178"/>
      <c r="AG615" s="178"/>
      <c r="AH615" s="178"/>
      <c r="AI615" s="178"/>
      <c r="AJ615" s="178"/>
      <c r="AK615" s="178"/>
      <c r="AL615" s="178"/>
      <c r="AM615" s="178"/>
      <c r="AN615" s="178"/>
      <c r="AO615" s="178"/>
      <c r="AP615" s="178"/>
      <c r="AQ615" s="178"/>
      <c r="AR615" s="178"/>
      <c r="AS615" s="178"/>
    </row>
    <row r="616" spans="1:45" s="21" customFormat="1" x14ac:dyDescent="0.4">
      <c r="A616" s="27"/>
      <c r="B616" s="645"/>
      <c r="C616" s="645"/>
      <c r="D616" s="131"/>
      <c r="F616" s="178"/>
      <c r="G616" s="178"/>
      <c r="H616" s="127"/>
      <c r="I616" s="178"/>
      <c r="J616" s="178"/>
      <c r="K616" s="178"/>
      <c r="L616" s="178"/>
      <c r="M616" s="178"/>
      <c r="N616" s="178"/>
      <c r="O616" s="178"/>
      <c r="P616" s="178"/>
      <c r="Q616" s="178"/>
      <c r="R616" s="178"/>
      <c r="S616" s="178"/>
      <c r="T616" s="178"/>
      <c r="U616" s="178"/>
      <c r="V616" s="410"/>
      <c r="Z616" s="178"/>
      <c r="AA616" s="178"/>
      <c r="AB616" s="178"/>
      <c r="AC616" s="178"/>
      <c r="AD616" s="178"/>
      <c r="AE616" s="178"/>
      <c r="AF616" s="178"/>
      <c r="AG616" s="178"/>
      <c r="AH616" s="178"/>
      <c r="AI616" s="178"/>
      <c r="AJ616" s="178"/>
      <c r="AK616" s="178"/>
      <c r="AL616" s="178"/>
      <c r="AM616" s="178"/>
      <c r="AN616" s="178"/>
      <c r="AO616" s="178"/>
      <c r="AP616" s="178"/>
      <c r="AQ616" s="178"/>
      <c r="AR616" s="178"/>
      <c r="AS616" s="178"/>
    </row>
    <row r="617" spans="1:45" s="21" customFormat="1" x14ac:dyDescent="0.4">
      <c r="A617" s="27"/>
      <c r="B617" s="645"/>
      <c r="C617" s="645"/>
      <c r="D617" s="131"/>
      <c r="F617" s="178"/>
      <c r="G617" s="178"/>
      <c r="H617" s="127"/>
      <c r="I617" s="178"/>
      <c r="J617" s="178"/>
      <c r="K617" s="178"/>
      <c r="L617" s="178"/>
      <c r="M617" s="178"/>
      <c r="N617" s="178"/>
      <c r="O617" s="178"/>
      <c r="P617" s="178"/>
      <c r="Q617" s="178"/>
      <c r="R617" s="178"/>
      <c r="S617" s="178"/>
      <c r="T617" s="178"/>
      <c r="U617" s="178"/>
      <c r="V617" s="410"/>
      <c r="Z617" s="178"/>
      <c r="AA617" s="178"/>
      <c r="AB617" s="178"/>
      <c r="AC617" s="178"/>
      <c r="AD617" s="178"/>
      <c r="AE617" s="178"/>
      <c r="AF617" s="178"/>
      <c r="AG617" s="178"/>
      <c r="AH617" s="178"/>
      <c r="AI617" s="178"/>
      <c r="AJ617" s="178"/>
      <c r="AK617" s="178"/>
      <c r="AL617" s="178"/>
      <c r="AM617" s="178"/>
      <c r="AN617" s="178"/>
      <c r="AO617" s="178"/>
      <c r="AP617" s="178"/>
      <c r="AQ617" s="178"/>
      <c r="AR617" s="178"/>
      <c r="AS617" s="178"/>
    </row>
    <row r="618" spans="1:45" s="21" customFormat="1" x14ac:dyDescent="0.4">
      <c r="A618" s="27"/>
      <c r="B618" s="645"/>
      <c r="C618" s="645"/>
      <c r="D618" s="131"/>
      <c r="F618" s="178"/>
      <c r="G618" s="178"/>
      <c r="H618" s="127"/>
      <c r="I618" s="178"/>
      <c r="J618" s="178"/>
      <c r="K618" s="178"/>
      <c r="L618" s="178"/>
      <c r="M618" s="178"/>
      <c r="N618" s="178"/>
      <c r="O618" s="178"/>
      <c r="P618" s="178"/>
      <c r="Q618" s="178"/>
      <c r="R618" s="178"/>
      <c r="S618" s="178"/>
      <c r="T618" s="178"/>
      <c r="U618" s="178"/>
      <c r="V618" s="410"/>
      <c r="Z618" s="178"/>
      <c r="AA618" s="178"/>
      <c r="AB618" s="178"/>
      <c r="AC618" s="178"/>
      <c r="AD618" s="178"/>
      <c r="AE618" s="178"/>
      <c r="AF618" s="178"/>
      <c r="AG618" s="178"/>
      <c r="AH618" s="178"/>
      <c r="AI618" s="178"/>
      <c r="AJ618" s="178"/>
      <c r="AK618" s="178"/>
      <c r="AL618" s="178"/>
      <c r="AM618" s="178"/>
      <c r="AN618" s="178"/>
      <c r="AO618" s="178"/>
      <c r="AP618" s="178"/>
      <c r="AQ618" s="178"/>
      <c r="AR618" s="178"/>
      <c r="AS618" s="178"/>
    </row>
    <row r="619" spans="1:45" s="48" customFormat="1" ht="84" customHeight="1" x14ac:dyDescent="0.4">
      <c r="A619" s="655"/>
      <c r="B619" s="655"/>
      <c r="C619" s="655"/>
      <c r="E619" s="665" t="s">
        <v>213</v>
      </c>
      <c r="F619" s="98"/>
      <c r="G619" s="98"/>
      <c r="H619" s="98"/>
      <c r="I619" s="98"/>
      <c r="J619" s="98"/>
      <c r="K619" s="98"/>
      <c r="L619" s="98"/>
      <c r="M619" s="98"/>
      <c r="N619" s="98"/>
      <c r="O619" s="98"/>
      <c r="P619" s="98"/>
      <c r="Q619" s="98"/>
      <c r="R619" s="98"/>
      <c r="S619" s="98"/>
      <c r="T619" s="98"/>
      <c r="U619" s="98"/>
      <c r="V619" s="421"/>
      <c r="Y619" s="48" t="s">
        <v>150</v>
      </c>
      <c r="Z619" s="98"/>
      <c r="AA619" s="98"/>
      <c r="AB619" s="98"/>
      <c r="AC619" s="98"/>
      <c r="AD619" s="98"/>
      <c r="AE619" s="98"/>
      <c r="AF619" s="98"/>
      <c r="AG619" s="98"/>
      <c r="AH619" s="98"/>
      <c r="AI619" s="98"/>
      <c r="AJ619" s="98"/>
      <c r="AK619" s="98"/>
      <c r="AL619" s="98"/>
      <c r="AM619" s="98"/>
      <c r="AN619" s="98"/>
      <c r="AO619" s="98"/>
      <c r="AP619" s="98"/>
      <c r="AQ619" s="98"/>
      <c r="AR619" s="98"/>
      <c r="AS619" s="98"/>
    </row>
    <row r="620" spans="1:45" s="21" customFormat="1" x14ac:dyDescent="0.4">
      <c r="A620" s="27"/>
      <c r="B620" s="645"/>
      <c r="C620" s="645"/>
      <c r="D620" s="131" t="s">
        <v>44</v>
      </c>
      <c r="F620" s="178"/>
      <c r="G620" s="178"/>
      <c r="H620" s="127"/>
      <c r="I620" s="178"/>
      <c r="J620" s="178"/>
      <c r="K620" s="178"/>
      <c r="L620" s="178"/>
      <c r="M620" s="178"/>
      <c r="N620" s="178"/>
      <c r="O620" s="178"/>
      <c r="P620" s="178"/>
      <c r="Q620" s="178"/>
      <c r="R620" s="178"/>
      <c r="S620" s="178"/>
      <c r="T620" s="178"/>
      <c r="U620" s="178"/>
      <c r="V620" s="410"/>
      <c r="Z620" s="178"/>
      <c r="AA620" s="178"/>
      <c r="AB620" s="178"/>
      <c r="AC620" s="178"/>
      <c r="AD620" s="178"/>
      <c r="AE620" s="178"/>
      <c r="AF620" s="178"/>
      <c r="AG620" s="178"/>
      <c r="AH620" s="178"/>
      <c r="AI620" s="178"/>
      <c r="AJ620" s="178"/>
      <c r="AK620" s="178"/>
      <c r="AL620" s="178"/>
      <c r="AM620" s="178"/>
      <c r="AN620" s="178"/>
      <c r="AO620" s="178"/>
      <c r="AP620" s="178"/>
      <c r="AQ620" s="178"/>
      <c r="AR620" s="178"/>
      <c r="AS620" s="178"/>
    </row>
    <row r="621" spans="1:45" s="21" customFormat="1" ht="33" customHeight="1" x14ac:dyDescent="0.4">
      <c r="A621" s="27"/>
      <c r="B621" s="645"/>
      <c r="C621" s="645"/>
      <c r="D621" s="131"/>
      <c r="E621" s="1425" t="str">
        <f>"STAÐAN ÁRIÐ "&amp;$A$1</f>
        <v>STAÐAN ÁRIÐ 2025</v>
      </c>
      <c r="F621" s="527"/>
      <c r="G621" s="527"/>
      <c r="H621" s="527"/>
      <c r="I621" s="527"/>
      <c r="J621" s="527"/>
      <c r="K621" s="527"/>
      <c r="L621" s="527"/>
      <c r="M621" s="527"/>
      <c r="N621" s="127"/>
      <c r="O621" s="1425" t="str">
        <f>$O$5</f>
        <v>FRAMTÍÐARHORFUR</v>
      </c>
      <c r="P621" s="1427" t="str">
        <f>$P$5</f>
        <v>Áætluð breyting í losun út frá
sviðsmynd byggð á aðgerðum stjórvalda</v>
      </c>
      <c r="Q621" s="1428"/>
      <c r="R621" s="1428"/>
      <c r="S621" s="1428"/>
      <c r="T621" s="178"/>
      <c r="U621" s="178"/>
      <c r="V621" s="410"/>
      <c r="Y621" s="1425" t="str">
        <f>$Y$5</f>
        <v>2025 EMISSIONS</v>
      </c>
      <c r="Z621" s="527"/>
      <c r="AA621" s="527"/>
      <c r="AB621" s="527"/>
      <c r="AC621" s="527"/>
      <c r="AD621" s="527"/>
      <c r="AE621" s="527"/>
      <c r="AF621" s="527"/>
      <c r="AG621" s="527"/>
      <c r="AH621" s="127"/>
      <c r="AI621" s="1425" t="str">
        <f>$AI$5</f>
        <v>OUTLOOKS</v>
      </c>
      <c r="AJ621" s="1427" t="str">
        <f>$AJ$5</f>
        <v>Estimated change in emissions based on
government policy-based scenario</v>
      </c>
      <c r="AK621" s="1428"/>
      <c r="AL621" s="1428"/>
      <c r="AM621" s="1428"/>
      <c r="AN621" s="178"/>
      <c r="AO621" s="178"/>
      <c r="AP621" s="178"/>
      <c r="AQ621" s="178"/>
      <c r="AR621" s="178"/>
      <c r="AS621" s="178"/>
    </row>
    <row r="622" spans="1:45" s="21" customFormat="1" ht="29.1" customHeight="1" x14ac:dyDescent="0.4">
      <c r="A622" s="27"/>
      <c r="B622" s="645"/>
      <c r="C622" s="645"/>
      <c r="D622" s="131" t="s">
        <v>44</v>
      </c>
      <c r="E622" s="1425"/>
      <c r="F622" s="1429" t="str">
        <f>"Losun "&amp;$A$1</f>
        <v>Losun 2025</v>
      </c>
      <c r="G622" s="1430"/>
      <c r="H622" s="1431" t="str">
        <f>"Breyting frá "&amp;$B$3</f>
        <v>Breyting frá 2024</v>
      </c>
      <c r="I622" s="1430"/>
      <c r="J622" s="1431" t="str">
        <f>"Breyting frá "&amp;$B$2</f>
        <v>Breyting frá 2005</v>
      </c>
      <c r="K622" s="1430"/>
      <c r="L622" s="1431" t="str">
        <f>"Breyting frá "&amp;$B$1</f>
        <v>Breyting frá 1990</v>
      </c>
      <c r="M622" s="1432"/>
      <c r="N622" s="127"/>
      <c r="O622" s="1425"/>
      <c r="P622" s="1429" t="s">
        <v>342</v>
      </c>
      <c r="Q622" s="1430"/>
      <c r="R622" s="1431" t="s">
        <v>343</v>
      </c>
      <c r="S622" s="1432"/>
      <c r="U622" s="178"/>
      <c r="V622" s="410"/>
      <c r="Y622" s="1425"/>
      <c r="Z622" s="1429" t="str">
        <f>$Z$6</f>
        <v>Emissions in 2025</v>
      </c>
      <c r="AA622" s="1430"/>
      <c r="AB622" s="1431" t="str">
        <f>$AB$6</f>
        <v>Change from 2024</v>
      </c>
      <c r="AC622" s="1430"/>
      <c r="AD622" s="1431" t="str">
        <f>$AD$6</f>
        <v>Change from 2005</v>
      </c>
      <c r="AE622" s="1430"/>
      <c r="AF622" s="1431" t="str">
        <f>$AF$6</f>
        <v>Change from 1990</v>
      </c>
      <c r="AG622" s="1432"/>
      <c r="AH622" s="127"/>
      <c r="AI622" s="1425"/>
      <c r="AJ622" s="1429" t="str">
        <f>$AJ$6</f>
        <v>2030 compared to 2005</v>
      </c>
      <c r="AK622" s="1430"/>
      <c r="AL622" s="1431" t="str">
        <f>$AL$6</f>
        <v>2055 compared to 1990</v>
      </c>
      <c r="AM622" s="1432"/>
      <c r="AO622" s="178"/>
      <c r="AP622" s="178"/>
      <c r="AQ622" s="178"/>
      <c r="AR622" s="178"/>
      <c r="AS622" s="178"/>
    </row>
    <row r="623" spans="1:45" s="21" customFormat="1" ht="17.7" customHeight="1" thickBot="1" x14ac:dyDescent="0.45">
      <c r="A623" s="27"/>
      <c r="B623" s="645"/>
      <c r="C623" s="645"/>
      <c r="D623" s="131" t="s">
        <v>44</v>
      </c>
      <c r="E623" s="1426"/>
      <c r="F623" s="528" t="s">
        <v>350</v>
      </c>
      <c r="G623" s="529" t="s">
        <v>4</v>
      </c>
      <c r="H623" s="528" t="str">
        <f>$F$7</f>
        <v>Þús. tonn CO₂-íg.</v>
      </c>
      <c r="I623" s="529" t="s">
        <v>4</v>
      </c>
      <c r="J623" s="528" t="str">
        <f>$F$7</f>
        <v>Þús. tonn CO₂-íg.</v>
      </c>
      <c r="K623" s="529" t="s">
        <v>4</v>
      </c>
      <c r="L623" s="528" t="str">
        <f>$F$7</f>
        <v>Þús. tonn CO₂-íg.</v>
      </c>
      <c r="M623" s="528" t="s">
        <v>4</v>
      </c>
      <c r="N623" s="127"/>
      <c r="O623" s="1426"/>
      <c r="P623" s="528" t="str">
        <f>$F$7</f>
        <v>Þús. tonn CO₂-íg.</v>
      </c>
      <c r="Q623" s="529" t="s">
        <v>4</v>
      </c>
      <c r="R623" s="528" t="str">
        <f>$F$7</f>
        <v>Þús. tonn CO₂-íg.</v>
      </c>
      <c r="S623" s="528" t="s">
        <v>4</v>
      </c>
      <c r="U623" s="178"/>
      <c r="V623" s="410"/>
      <c r="Y623" s="1426"/>
      <c r="Z623" s="528" t="str">
        <f>$Z$7</f>
        <v>Thousand tons CO₂e</v>
      </c>
      <c r="AA623" s="529" t="s">
        <v>4</v>
      </c>
      <c r="AB623" s="528" t="str">
        <f>$Z$7</f>
        <v>Thousand tons CO₂e</v>
      </c>
      <c r="AC623" s="529" t="s">
        <v>4</v>
      </c>
      <c r="AD623" s="528" t="str">
        <f>$F$7</f>
        <v>Þús. tonn CO₂-íg.</v>
      </c>
      <c r="AE623" s="529" t="s">
        <v>4</v>
      </c>
      <c r="AF623" s="528" t="str">
        <f>$Z$7</f>
        <v>Thousand tons CO₂e</v>
      </c>
      <c r="AG623" s="528" t="s">
        <v>4</v>
      </c>
      <c r="AH623" s="127"/>
      <c r="AI623" s="1426"/>
      <c r="AJ623" s="528" t="str">
        <f>$Z$7</f>
        <v>Thousand tons CO₂e</v>
      </c>
      <c r="AK623" s="529" t="s">
        <v>4</v>
      </c>
      <c r="AL623" s="528" t="str">
        <f>$Z$7</f>
        <v>Thousand tons CO₂e</v>
      </c>
      <c r="AM623" s="528" t="s">
        <v>4</v>
      </c>
      <c r="AO623" s="178"/>
      <c r="AP623" s="178"/>
      <c r="AQ623" s="178"/>
      <c r="AR623" s="178"/>
      <c r="AS623" s="178"/>
    </row>
    <row r="624" spans="1:45" s="21" customFormat="1" ht="21" customHeight="1" thickTop="1" x14ac:dyDescent="0.4">
      <c r="A624" s="27" t="s">
        <v>68</v>
      </c>
      <c r="B624" s="27" t="s">
        <v>277</v>
      </c>
      <c r="C624" s="27" t="s">
        <v>282</v>
      </c>
      <c r="D624" s="131" t="s">
        <v>44</v>
      </c>
      <c r="E624" s="533" t="str">
        <f>'Talnagögn | Numerical Data'!$E$210</f>
        <v>Skógar</v>
      </c>
      <c r="F624" s="530" cm="1">
        <f t="array" ref="F624">INDEX('Talnagögn | Numerical Data'!$1:$1048576,_xlfn.XMATCH($A624,'Talnagögn | Numerical Data'!$B:$B),_xlfn.XMATCH($A$1,'Talnagögn | Numerical Data'!$1:$1))</f>
        <v>-569.03313713696218</v>
      </c>
      <c r="G624" s="542">
        <f>$F624/$F$629</f>
        <v>-9.3585727106457406E-2</v>
      </c>
      <c r="H624" s="531" cm="1">
        <f t="array" ref="H624">INDEX('Talnagögn | Numerical Data'!$1:$1048576,_xlfn.XMATCH($A624,'Talnagögn | Numerical Data'!$B:$B),_xlfn.XMATCH($A$1,'Talnagögn | Numerical Data'!$1:$1))-INDEX('Talnagögn | Numerical Data'!$1:$1048576,_xlfn.XMATCH($A624,'Talnagögn | Numerical Data'!$B:$B),_xlfn.XMATCH($B$3,'Talnagögn | Numerical Data'!$1:$1))</f>
        <v>-34.866324194723347</v>
      </c>
      <c r="I624" s="542" cm="1">
        <f t="array" ref="I624">INDEX('Talnagögn | Numerical Data'!$1:$1048576,_xlfn.XMATCH($A624,'Talnagögn | Numerical Data'!$B:$B),_xlfn.XMATCH($A$1,'Talnagögn | Numerical Data'!$1:$1))/INDEX('Talnagögn | Numerical Data'!$1:$1048576,_xlfn.XMATCH($A624,'Talnagögn | Numerical Data'!$B:$B),_xlfn.XMATCH($B$3,'Talnagögn | Numerical Data'!$1:$1))-1</f>
        <v>6.5272351913209459E-2</v>
      </c>
      <c r="J624" s="531" cm="1">
        <f t="array" ref="J624">INDEX('Talnagögn | Numerical Data'!$1:$1048576,_xlfn.XMATCH($A624,'Talnagögn | Numerical Data'!$B:$B),_xlfn.XMATCH($A$1,'Talnagögn | Numerical Data'!$1:$1))-INDEX('Talnagögn | Numerical Data'!$1:$1048576,_xlfn.XMATCH($A624,'Talnagögn | Numerical Data'!$B:$B),_xlfn.XMATCH($B$2,'Talnagögn | Numerical Data'!$1:$1))</f>
        <v>-422.79780296687881</v>
      </c>
      <c r="K624" s="549" cm="1">
        <f t="array" ref="K624">INDEX('Talnagögn | Numerical Data'!$1:$1048576,_xlfn.XMATCH($A624,'Talnagögn | Numerical Data'!$B:$B),_xlfn.XMATCH($A$1,'Talnagögn | Numerical Data'!$1:$1))/INDEX('Talnagögn | Numerical Data'!$1:$1048576,_xlfn.XMATCH($A624,'Talnagögn | Numerical Data'!$B:$B),_xlfn.XMATCH($B$2,'Talnagögn | Numerical Data'!$1:$1))-1</f>
        <v>2.8912150771654899</v>
      </c>
      <c r="L624" s="531" cm="1">
        <f t="array" ref="L624">INDEX('Talnagögn | Numerical Data'!$1:$1048576,_xlfn.XMATCH($A624,'Talnagögn | Numerical Data'!$B:$B),_xlfn.XMATCH($A$1,'Talnagögn | Numerical Data'!$1:$1))-INDEX('Talnagögn | Numerical Data'!$1:$1048576,_xlfn.XMATCH($A624,'Talnagögn | Numerical Data'!$B:$B),_xlfn.XMATCH($B$1,'Talnagögn | Numerical Data'!$1:$1))</f>
        <v>-538.09670511298737</v>
      </c>
      <c r="M624" s="532" cm="1">
        <f t="array" ref="M624">INDEX('Talnagögn | Numerical Data'!$1:$1048576,_xlfn.XMATCH($A624,'Talnagögn | Numerical Data'!$B:$B),_xlfn.XMATCH($A$1,'Talnagögn | Numerical Data'!$1:$1))/INDEX('Talnagögn | Numerical Data'!$1:$1048576,_xlfn.XMATCH($A624,'Talnagögn | Numerical Data'!$B:$B),_xlfn.XMATCH($B$1,'Talnagögn | Numerical Data'!$1:$1))-1</f>
        <v>17.393625247280539</v>
      </c>
      <c r="N624" s="178"/>
      <c r="O624" s="550" t="str">
        <f>'Talnagögn | Numerical Data'!$E$210</f>
        <v>Skógar</v>
      </c>
      <c r="P624" s="531" cm="1">
        <f t="array" ref="P624">INDEX('Talnagögn | Numerical Data'!$1:$1048576,_xlfn.XMATCH($B624,'Talnagögn | Numerical Data'!$C:$C),_xlfn.XMATCH($B$4,'Talnagögn | Numerical Data'!$1:$1))-INDEX('Talnagögn | Numerical Data'!$1:$1048576,_xlfn.XMATCH($A624,'Talnagögn | Numerical Data'!$B:$B),_xlfn.XMATCH($B$2,'Talnagögn | Numerical Data'!$1:$1))</f>
        <v>-605.86370021694165</v>
      </c>
      <c r="Q624" s="549" cm="1">
        <f t="array" ref="Q624">INDEX('Talnagögn | Numerical Data'!$1:$1048576,_xlfn.XMATCH($B624,'Talnagögn | Numerical Data'!$C:$C),_xlfn.XMATCH($B$4,'Talnagögn | Numerical Data'!$1:$1))/INDEX('Talnagögn | Numerical Data'!$1:$1048576,_xlfn.XMATCH($A624,'Talnagögn | Numerical Data'!$B:$B),_xlfn.XMATCH($B$2,'Talnagögn | Numerical Data'!$1:$1))-1</f>
        <v>4.1430732432441655</v>
      </c>
      <c r="R624" s="531" cm="1">
        <f t="array" ref="R624">INDEX('Talnagögn | Numerical Data'!$1:$1048576,_xlfn.XMATCH($B624,'Talnagögn | Numerical Data'!$C:$C),_xlfn.XMATCH($B$5,'Talnagögn | Numerical Data'!$1:$1))-INDEX('Talnagögn | Numerical Data'!$1:$1048576,_xlfn.XMATCH($A624,'Talnagögn | Numerical Data'!$B:$B),_xlfn.XMATCH($B$1,'Talnagögn | Numerical Data'!$1:$1))</f>
        <v>-1904.5512133487971</v>
      </c>
      <c r="S624" s="532" cm="1">
        <f t="array" ref="S624">INDEX('Talnagögn | Numerical Data'!$1:$1048576,_xlfn.XMATCH($B624,'Talnagögn | Numerical Data'!$C:$C),_xlfn.XMATCH($B$5,'Talnagögn | Numerical Data'!$1:$1))/INDEX('Talnagögn | Numerical Data'!$1:$1048576,_xlfn.XMATCH($A624,'Talnagögn | Numerical Data'!$B:$B),_xlfn.XMATCH($B$1,'Talnagögn | Numerical Data'!$1:$1))-1</f>
        <v>61.563376535239215</v>
      </c>
      <c r="U624" s="178"/>
      <c r="V624" s="410"/>
      <c r="Y624" s="533" t="str">
        <f>'Talnagögn | Numerical Data'!$G$210</f>
        <v>Forest Land</v>
      </c>
      <c r="Z624" s="530" cm="1">
        <f t="array" ref="Z624">INDEX('Talnagögn | Numerical Data'!$1:$1048576,_xlfn.XMATCH($A624,'Talnagögn | Numerical Data'!$B:$B),_xlfn.XMATCH($A$1,'Talnagögn | Numerical Data'!$1:$1))</f>
        <v>-569.03313713696218</v>
      </c>
      <c r="AA624" s="542">
        <f>$F624/$F$629</f>
        <v>-9.3585727106457406E-2</v>
      </c>
      <c r="AB624" s="531" cm="1">
        <f t="array" ref="AB624">INDEX('Talnagögn | Numerical Data'!$1:$1048576,_xlfn.XMATCH($A624,'Talnagögn | Numerical Data'!$B:$B),_xlfn.XMATCH($A$1,'Talnagögn | Numerical Data'!$1:$1))-INDEX('Talnagögn | Numerical Data'!$1:$1048576,_xlfn.XMATCH($A624,'Talnagögn | Numerical Data'!$B:$B),_xlfn.XMATCH($B$3,'Talnagögn | Numerical Data'!$1:$1))</f>
        <v>-34.866324194723347</v>
      </c>
      <c r="AC624" s="542" cm="1">
        <f t="array" ref="AC624">INDEX('Talnagögn | Numerical Data'!$1:$1048576,_xlfn.XMATCH($A624,'Talnagögn | Numerical Data'!$B:$B),_xlfn.XMATCH($A$1,'Talnagögn | Numerical Data'!$1:$1))/INDEX('Talnagögn | Numerical Data'!$1:$1048576,_xlfn.XMATCH($A624,'Talnagögn | Numerical Data'!$B:$B),_xlfn.XMATCH($B$3,'Talnagögn | Numerical Data'!$1:$1))-1</f>
        <v>6.5272351913209459E-2</v>
      </c>
      <c r="AD624" s="531" cm="1">
        <f t="array" ref="AD624">INDEX('Talnagögn | Numerical Data'!$1:$1048576,_xlfn.XMATCH($A624,'Talnagögn | Numerical Data'!$B:$B),_xlfn.XMATCH($A$1,'Talnagögn | Numerical Data'!$1:$1))-INDEX('Talnagögn | Numerical Data'!$1:$1048576,_xlfn.XMATCH($A624,'Talnagögn | Numerical Data'!$B:$B),_xlfn.XMATCH($B$2,'Talnagögn | Numerical Data'!$1:$1))</f>
        <v>-422.79780296687881</v>
      </c>
      <c r="AE624" s="549" cm="1">
        <f t="array" ref="AE624">INDEX('Talnagögn | Numerical Data'!$1:$1048576,_xlfn.XMATCH($A624,'Talnagögn | Numerical Data'!$B:$B),_xlfn.XMATCH($A$1,'Talnagögn | Numerical Data'!$1:$1))/INDEX('Talnagögn | Numerical Data'!$1:$1048576,_xlfn.XMATCH($A624,'Talnagögn | Numerical Data'!$B:$B),_xlfn.XMATCH($B$2,'Talnagögn | Numerical Data'!$1:$1))-1</f>
        <v>2.8912150771654899</v>
      </c>
      <c r="AF624" s="531" cm="1">
        <f t="array" ref="AF624">INDEX('Talnagögn | Numerical Data'!$1:$1048576,_xlfn.XMATCH($A624,'Talnagögn | Numerical Data'!$B:$B),_xlfn.XMATCH($A$1,'Talnagögn | Numerical Data'!$1:$1))-INDEX('Talnagögn | Numerical Data'!$1:$1048576,_xlfn.XMATCH($A624,'Talnagögn | Numerical Data'!$B:$B),_xlfn.XMATCH($B$1,'Talnagögn | Numerical Data'!$1:$1))</f>
        <v>-538.09670511298737</v>
      </c>
      <c r="AG624" s="532" cm="1">
        <f t="array" ref="AG624">INDEX('Talnagögn | Numerical Data'!$1:$1048576,_xlfn.XMATCH($A624,'Talnagögn | Numerical Data'!$B:$B),_xlfn.XMATCH($A$1,'Talnagögn | Numerical Data'!$1:$1))/INDEX('Talnagögn | Numerical Data'!$1:$1048576,_xlfn.XMATCH($A624,'Talnagögn | Numerical Data'!$B:$B),_xlfn.XMATCH($B$1,'Talnagögn | Numerical Data'!$1:$1))-1</f>
        <v>17.393625247280539</v>
      </c>
      <c r="AH624" s="178"/>
      <c r="AI624" s="533" t="str">
        <f>'Talnagögn | Numerical Data'!$G$210</f>
        <v>Forest Land</v>
      </c>
      <c r="AJ624" s="531" cm="1">
        <f t="array" ref="AJ624">INDEX('Talnagögn | Numerical Data'!$1:$1048576,_xlfn.XMATCH($B624,'Talnagögn | Numerical Data'!$C:$C),_xlfn.XMATCH($B$4,'Talnagögn | Numerical Data'!$1:$1))-INDEX('Talnagögn | Numerical Data'!$1:$1048576,_xlfn.XMATCH($A624,'Talnagögn | Numerical Data'!$B:$B),_xlfn.XMATCH($B$2,'Talnagögn | Numerical Data'!$1:$1))</f>
        <v>-605.86370021694165</v>
      </c>
      <c r="AK624" s="549" cm="1">
        <f t="array" ref="AK624">INDEX('Talnagögn | Numerical Data'!$1:$1048576,_xlfn.XMATCH($B624,'Talnagögn | Numerical Data'!$C:$C),_xlfn.XMATCH($B$4,'Talnagögn | Numerical Data'!$1:$1))/INDEX('Talnagögn | Numerical Data'!$1:$1048576,_xlfn.XMATCH($A624,'Talnagögn | Numerical Data'!$B:$B),_xlfn.XMATCH($B$2,'Talnagögn | Numerical Data'!$1:$1))-1</f>
        <v>4.1430732432441655</v>
      </c>
      <c r="AL624" s="531" cm="1">
        <f t="array" ref="AL624">INDEX('Talnagögn | Numerical Data'!$1:$1048576,_xlfn.XMATCH($B624,'Talnagögn | Numerical Data'!$C:$C),_xlfn.XMATCH($B$5,'Talnagögn | Numerical Data'!$1:$1))-INDEX('Talnagögn | Numerical Data'!$1:$1048576,_xlfn.XMATCH($A624,'Talnagögn | Numerical Data'!$B:$B),_xlfn.XMATCH($B$1,'Talnagögn | Numerical Data'!$1:$1))</f>
        <v>-1904.5512133487971</v>
      </c>
      <c r="AM624" s="532" cm="1">
        <f t="array" ref="AM624">INDEX('Talnagögn | Numerical Data'!$1:$1048576,_xlfn.XMATCH($B624,'Talnagögn | Numerical Data'!$C:$C),_xlfn.XMATCH($B$5,'Talnagögn | Numerical Data'!$1:$1))/INDEX('Talnagögn | Numerical Data'!$1:$1048576,_xlfn.XMATCH($A624,'Talnagögn | Numerical Data'!$B:$B),_xlfn.XMATCH($B$1,'Talnagögn | Numerical Data'!$1:$1))-1</f>
        <v>61.563376535239215</v>
      </c>
      <c r="AO624" s="178"/>
      <c r="AP624" s="178"/>
      <c r="AQ624" s="178"/>
      <c r="AR624" s="178"/>
      <c r="AS624" s="178"/>
    </row>
    <row r="625" spans="1:45" s="21" customFormat="1" ht="21" customHeight="1" x14ac:dyDescent="0.4">
      <c r="A625" s="27" t="s">
        <v>69</v>
      </c>
      <c r="B625" s="27" t="s">
        <v>278</v>
      </c>
      <c r="C625" s="27" t="s">
        <v>283</v>
      </c>
      <c r="D625" s="131" t="s">
        <v>44</v>
      </c>
      <c r="E625" s="534" t="str">
        <f>'Talnagögn | Numerical Data'!$E$211</f>
        <v>Ræktað land</v>
      </c>
      <c r="F625" s="531" cm="1">
        <f t="array" ref="F625">INDEX('Talnagögn | Numerical Data'!$1:$1048576,_xlfn.XMATCH($A625,'Talnagögn | Numerical Data'!$B:$B),_xlfn.XMATCH($A$1,'Talnagögn | Numerical Data'!$1:$1))</f>
        <v>1574.5549406841444</v>
      </c>
      <c r="G625" s="543">
        <f>$F625/$F$629</f>
        <v>0.25895832663524315</v>
      </c>
      <c r="H625" s="531" cm="1">
        <f t="array" ref="H625">INDEX('Talnagögn | Numerical Data'!$1:$1048576,_xlfn.XMATCH($A625,'Talnagögn | Numerical Data'!$B:$B),_xlfn.XMATCH($A$1,'Talnagögn | Numerical Data'!$1:$1))-INDEX('Talnagögn | Numerical Data'!$1:$1048576,_xlfn.XMATCH($A625,'Talnagögn | Numerical Data'!$B:$B),_xlfn.XMATCH($B$3,'Talnagögn | Numerical Data'!$1:$1))</f>
        <v>-91.681576287888447</v>
      </c>
      <c r="I625" s="544" cm="1">
        <f t="array" ref="I625">INDEX('Talnagögn | Numerical Data'!$1:$1048576,_xlfn.XMATCH($A625,'Talnagögn | Numerical Data'!$B:$B),_xlfn.XMATCH($A$1,'Talnagögn | Numerical Data'!$1:$1))/INDEX('Talnagögn | Numerical Data'!$1:$1048576,_xlfn.XMATCH($A625,'Talnagögn | Numerical Data'!$B:$B),_xlfn.XMATCH($B$3,'Talnagögn | Numerical Data'!$1:$1))-1</f>
        <v>-5.5023146686580038E-2</v>
      </c>
      <c r="J625" s="531" cm="1">
        <f t="array" ref="J625">INDEX('Talnagögn | Numerical Data'!$1:$1048576,_xlfn.XMATCH($A625,'Talnagögn | Numerical Data'!$B:$B),_xlfn.XMATCH($A$1,'Talnagögn | Numerical Data'!$1:$1))-INDEX('Talnagögn | Numerical Data'!$1:$1048576,_xlfn.XMATCH($A625,'Talnagögn | Numerical Data'!$B:$B),_xlfn.XMATCH($B$2,'Talnagögn | Numerical Data'!$1:$1))</f>
        <v>-496.59214178684329</v>
      </c>
      <c r="K625" s="543" cm="1">
        <f t="array" ref="K625">INDEX('Talnagögn | Numerical Data'!$1:$1048576,_xlfn.XMATCH($A625,'Talnagögn | Numerical Data'!$B:$B),_xlfn.XMATCH($A$1,'Talnagögn | Numerical Data'!$1:$1))/INDEX('Talnagögn | Numerical Data'!$1:$1048576,_xlfn.XMATCH($A625,'Talnagögn | Numerical Data'!$B:$B),_xlfn.XMATCH($B$2,'Talnagögn | Numerical Data'!$1:$1))-1</f>
        <v>-0.23976671960659723</v>
      </c>
      <c r="L625" s="531" cm="1">
        <f t="array" ref="L625">INDEX('Talnagögn | Numerical Data'!$1:$1048576,_xlfn.XMATCH($A625,'Talnagögn | Numerical Data'!$B:$B),_xlfn.XMATCH($A$1,'Talnagögn | Numerical Data'!$1:$1))-INDEX('Talnagögn | Numerical Data'!$1:$1048576,_xlfn.XMATCH($A625,'Talnagögn | Numerical Data'!$B:$B),_xlfn.XMATCH($B$1,'Talnagögn | Numerical Data'!$1:$1))</f>
        <v>-670.02576273624004</v>
      </c>
      <c r="M625" s="532" cm="1">
        <f t="array" ref="M625">INDEX('Talnagögn | Numerical Data'!$1:$1048576,_xlfn.XMATCH($A625,'Talnagögn | Numerical Data'!$B:$B),_xlfn.XMATCH($A$1,'Talnagögn | Numerical Data'!$1:$1))/INDEX('Talnagögn | Numerical Data'!$1:$1048576,_xlfn.XMATCH($A625,'Talnagögn | Numerical Data'!$B:$B),_xlfn.XMATCH($B$1,'Talnagögn | Numerical Data'!$1:$1))-1</f>
        <v>-0.29850820766445474</v>
      </c>
      <c r="N625" s="178"/>
      <c r="O625" s="551" t="str">
        <f>'Talnagögn | Numerical Data'!$E$211</f>
        <v>Ræktað land</v>
      </c>
      <c r="P625" s="531" cm="1">
        <f t="array" ref="P625">INDEX('Talnagögn | Numerical Data'!$1:$1048576,_xlfn.XMATCH($B625,'Talnagögn | Numerical Data'!$C:$C),_xlfn.XMATCH($B$4,'Talnagögn | Numerical Data'!$1:$1))-INDEX('Talnagögn | Numerical Data'!$1:$1048576,_xlfn.XMATCH($A625,'Talnagögn | Numerical Data'!$B:$B),_xlfn.XMATCH($B$2,'Talnagögn | Numerical Data'!$1:$1))</f>
        <v>-483.90786953438487</v>
      </c>
      <c r="Q625" s="543" cm="1">
        <f t="array" ref="Q625">INDEX('Talnagögn | Numerical Data'!$1:$1048576,_xlfn.XMATCH($B625,'Talnagögn | Numerical Data'!$C:$C),_xlfn.XMATCH($B$4,'Talnagögn | Numerical Data'!$1:$1))/INDEX('Talnagögn | Numerical Data'!$1:$1048576,_xlfn.XMATCH($A625,'Talnagögn | Numerical Data'!$B:$B),_xlfn.XMATCH($B$2,'Talnagögn | Numerical Data'!$1:$1))-1</f>
        <v>-0.23364244559447578</v>
      </c>
      <c r="R625" s="531" cm="1">
        <f t="array" ref="R625">INDEX('Talnagögn | Numerical Data'!$1:$1048576,_xlfn.XMATCH($B625,'Talnagögn | Numerical Data'!$C:$C),_xlfn.XMATCH($B$5,'Talnagögn | Numerical Data'!$1:$1))-INDEX('Talnagögn | Numerical Data'!$1:$1048576,_xlfn.XMATCH($A625,'Talnagögn | Numerical Data'!$B:$B),_xlfn.XMATCH($B$1,'Talnagögn | Numerical Data'!$1:$1))</f>
        <v>-657.78123369886976</v>
      </c>
      <c r="S625" s="532" cm="1">
        <f t="array" ref="S625">INDEX('Talnagögn | Numerical Data'!$1:$1048576,_xlfn.XMATCH($B625,'Talnagögn | Numerical Data'!$C:$C),_xlfn.XMATCH($B$5,'Talnagögn | Numerical Data'!$1:$1))/INDEX('Talnagögn | Numerical Data'!$1:$1048576,_xlfn.XMATCH($A625,'Talnagögn | Numerical Data'!$B:$B),_xlfn.XMATCH($B$1,'Talnagögn | Numerical Data'!$1:$1))-1</f>
        <v>-0.293053055609235</v>
      </c>
      <c r="U625" s="178"/>
      <c r="V625" s="410"/>
      <c r="Y625" s="534" t="str">
        <f>'Talnagögn | Numerical Data'!$G$211</f>
        <v>Cropland</v>
      </c>
      <c r="Z625" s="531" cm="1">
        <f t="array" ref="Z625">INDEX('Talnagögn | Numerical Data'!$1:$1048576,_xlfn.XMATCH($A625,'Talnagögn | Numerical Data'!$B:$B),_xlfn.XMATCH($A$1,'Talnagögn | Numerical Data'!$1:$1))</f>
        <v>1574.5549406841444</v>
      </c>
      <c r="AA625" s="543">
        <f>$F625/$F$629</f>
        <v>0.25895832663524315</v>
      </c>
      <c r="AB625" s="531" cm="1">
        <f t="array" ref="AB625">INDEX('Talnagögn | Numerical Data'!$1:$1048576,_xlfn.XMATCH($A625,'Talnagögn | Numerical Data'!$B:$B),_xlfn.XMATCH($A$1,'Talnagögn | Numerical Data'!$1:$1))-INDEX('Talnagögn | Numerical Data'!$1:$1048576,_xlfn.XMATCH($A625,'Talnagögn | Numerical Data'!$B:$B),_xlfn.XMATCH($B$3,'Talnagögn | Numerical Data'!$1:$1))</f>
        <v>-91.681576287888447</v>
      </c>
      <c r="AC625" s="544" cm="1">
        <f t="array" ref="AC625">INDEX('Talnagögn | Numerical Data'!$1:$1048576,_xlfn.XMATCH($A625,'Talnagögn | Numerical Data'!$B:$B),_xlfn.XMATCH($A$1,'Talnagögn | Numerical Data'!$1:$1))/INDEX('Talnagögn | Numerical Data'!$1:$1048576,_xlfn.XMATCH($A625,'Talnagögn | Numerical Data'!$B:$B),_xlfn.XMATCH($B$3,'Talnagögn | Numerical Data'!$1:$1))-1</f>
        <v>-5.5023146686580038E-2</v>
      </c>
      <c r="AD625" s="531" cm="1">
        <f t="array" ref="AD625">INDEX('Talnagögn | Numerical Data'!$1:$1048576,_xlfn.XMATCH($A625,'Talnagögn | Numerical Data'!$B:$B),_xlfn.XMATCH($A$1,'Talnagögn | Numerical Data'!$1:$1))-INDEX('Talnagögn | Numerical Data'!$1:$1048576,_xlfn.XMATCH($A625,'Talnagögn | Numerical Data'!$B:$B),_xlfn.XMATCH($B$2,'Talnagögn | Numerical Data'!$1:$1))</f>
        <v>-496.59214178684329</v>
      </c>
      <c r="AE625" s="543" cm="1">
        <f t="array" ref="AE625">INDEX('Talnagögn | Numerical Data'!$1:$1048576,_xlfn.XMATCH($A625,'Talnagögn | Numerical Data'!$B:$B),_xlfn.XMATCH($A$1,'Talnagögn | Numerical Data'!$1:$1))/INDEX('Talnagögn | Numerical Data'!$1:$1048576,_xlfn.XMATCH($A625,'Talnagögn | Numerical Data'!$B:$B),_xlfn.XMATCH($B$2,'Talnagögn | Numerical Data'!$1:$1))-1</f>
        <v>-0.23976671960659723</v>
      </c>
      <c r="AF625" s="531" cm="1">
        <f t="array" ref="AF625">INDEX('Talnagögn | Numerical Data'!$1:$1048576,_xlfn.XMATCH($A625,'Talnagögn | Numerical Data'!$B:$B),_xlfn.XMATCH($A$1,'Talnagögn | Numerical Data'!$1:$1))-INDEX('Talnagögn | Numerical Data'!$1:$1048576,_xlfn.XMATCH($A625,'Talnagögn | Numerical Data'!$B:$B),_xlfn.XMATCH($B$1,'Talnagögn | Numerical Data'!$1:$1))</f>
        <v>-670.02576273624004</v>
      </c>
      <c r="AG625" s="532" cm="1">
        <f t="array" ref="AG625">INDEX('Talnagögn | Numerical Data'!$1:$1048576,_xlfn.XMATCH($A625,'Talnagögn | Numerical Data'!$B:$B),_xlfn.XMATCH($A$1,'Talnagögn | Numerical Data'!$1:$1))/INDEX('Talnagögn | Numerical Data'!$1:$1048576,_xlfn.XMATCH($A625,'Talnagögn | Numerical Data'!$B:$B),_xlfn.XMATCH($B$1,'Talnagögn | Numerical Data'!$1:$1))-1</f>
        <v>-0.29850820766445474</v>
      </c>
      <c r="AH625" s="178"/>
      <c r="AI625" s="534" t="str">
        <f>'Talnagögn | Numerical Data'!$G$211</f>
        <v>Cropland</v>
      </c>
      <c r="AJ625" s="531" cm="1">
        <f t="array" ref="AJ625">INDEX('Talnagögn | Numerical Data'!$1:$1048576,_xlfn.XMATCH($B625,'Talnagögn | Numerical Data'!$C:$C),_xlfn.XMATCH($B$4,'Talnagögn | Numerical Data'!$1:$1))-INDEX('Talnagögn | Numerical Data'!$1:$1048576,_xlfn.XMATCH($A625,'Talnagögn | Numerical Data'!$B:$B),_xlfn.XMATCH($B$2,'Talnagögn | Numerical Data'!$1:$1))</f>
        <v>-483.90786953438487</v>
      </c>
      <c r="AK625" s="543" cm="1">
        <f t="array" ref="AK625">INDEX('Talnagögn | Numerical Data'!$1:$1048576,_xlfn.XMATCH($B625,'Talnagögn | Numerical Data'!$C:$C),_xlfn.XMATCH($B$4,'Talnagögn | Numerical Data'!$1:$1))/INDEX('Talnagögn | Numerical Data'!$1:$1048576,_xlfn.XMATCH($A625,'Talnagögn | Numerical Data'!$B:$B),_xlfn.XMATCH($B$2,'Talnagögn | Numerical Data'!$1:$1))-1</f>
        <v>-0.23364244559447578</v>
      </c>
      <c r="AL625" s="531" cm="1">
        <f t="array" ref="AL625">INDEX('Talnagögn | Numerical Data'!$1:$1048576,_xlfn.XMATCH($B625,'Talnagögn | Numerical Data'!$C:$C),_xlfn.XMATCH($B$5,'Talnagögn | Numerical Data'!$1:$1))-INDEX('Talnagögn | Numerical Data'!$1:$1048576,_xlfn.XMATCH($A625,'Talnagögn | Numerical Data'!$B:$B),_xlfn.XMATCH($B$1,'Talnagögn | Numerical Data'!$1:$1))</f>
        <v>-657.78123369886976</v>
      </c>
      <c r="AM625" s="532" cm="1">
        <f t="array" ref="AM625">INDEX('Talnagögn | Numerical Data'!$1:$1048576,_xlfn.XMATCH($B625,'Talnagögn | Numerical Data'!$C:$C),_xlfn.XMATCH($B$5,'Talnagögn | Numerical Data'!$1:$1))/INDEX('Talnagögn | Numerical Data'!$1:$1048576,_xlfn.XMATCH($A625,'Talnagögn | Numerical Data'!$B:$B),_xlfn.XMATCH($B$1,'Talnagögn | Numerical Data'!$1:$1))-1</f>
        <v>-0.293053055609235</v>
      </c>
      <c r="AO625" s="178"/>
      <c r="AP625" s="178"/>
      <c r="AQ625" s="178"/>
      <c r="AR625" s="178"/>
      <c r="AS625" s="178"/>
    </row>
    <row r="626" spans="1:45" s="21" customFormat="1" ht="21" customHeight="1" x14ac:dyDescent="0.4">
      <c r="A626" s="27" t="s">
        <v>70</v>
      </c>
      <c r="B626" s="27" t="s">
        <v>279</v>
      </c>
      <c r="C626" s="27" t="s">
        <v>284</v>
      </c>
      <c r="D626" s="131" t="s">
        <v>44</v>
      </c>
      <c r="E626" s="534" t="str">
        <f>'Talnagögn | Numerical Data'!$E$212</f>
        <v>Mólendi</v>
      </c>
      <c r="F626" s="531" cm="1">
        <f t="array" ref="F626">INDEX('Talnagögn | Numerical Data'!$1:$1048576,_xlfn.XMATCH($A626,'Talnagögn | Numerical Data'!$B:$B),_xlfn.XMATCH($A$1,'Talnagögn | Numerical Data'!$1:$1))</f>
        <v>5024.8635353547543</v>
      </c>
      <c r="G626" s="543">
        <f>$F626/$F$629</f>
        <v>0.8264114633691565</v>
      </c>
      <c r="H626" s="531" cm="1">
        <f t="array" ref="H626">INDEX('Talnagögn | Numerical Data'!$1:$1048576,_xlfn.XMATCH($A626,'Talnagögn | Numerical Data'!$B:$B),_xlfn.XMATCH($A$1,'Talnagögn | Numerical Data'!$1:$1))-INDEX('Talnagögn | Numerical Data'!$1:$1048576,_xlfn.XMATCH($A626,'Talnagögn | Numerical Data'!$B:$B),_xlfn.XMATCH($B$3,'Talnagögn | Numerical Data'!$1:$1))</f>
        <v>-15.271946067456156</v>
      </c>
      <c r="I626" s="547" cm="1">
        <f t="array" ref="I626">INDEX('Talnagögn | Numerical Data'!$1:$1048576,_xlfn.XMATCH($A626,'Talnagögn | Numerical Data'!$B:$B),_xlfn.XMATCH($A$1,'Talnagögn | Numerical Data'!$1:$1))/INDEX('Talnagögn | Numerical Data'!$1:$1048576,_xlfn.XMATCH($A626,'Talnagögn | Numerical Data'!$B:$B),_xlfn.XMATCH($B$3,'Talnagögn | Numerical Data'!$1:$1))-1</f>
        <v>-3.0300665773267399E-3</v>
      </c>
      <c r="J626" s="531" cm="1">
        <f t="array" ref="J626">INDEX('Talnagögn | Numerical Data'!$1:$1048576,_xlfn.XMATCH($A626,'Talnagögn | Numerical Data'!$B:$B),_xlfn.XMATCH($A$1,'Talnagögn | Numerical Data'!$1:$1))-INDEX('Talnagögn | Numerical Data'!$1:$1048576,_xlfn.XMATCH($A626,'Talnagögn | Numerical Data'!$B:$B),_xlfn.XMATCH($B$2,'Talnagögn | Numerical Data'!$1:$1))</f>
        <v>378.18899039301959</v>
      </c>
      <c r="K626" s="544" cm="1">
        <f t="array" ref="K626">INDEX('Talnagögn | Numerical Data'!$1:$1048576,_xlfn.XMATCH($A626,'Talnagögn | Numerical Data'!$B:$B),_xlfn.XMATCH($A$1,'Talnagögn | Numerical Data'!$1:$1))/INDEX('Talnagögn | Numerical Data'!$1:$1048576,_xlfn.XMATCH($A626,'Talnagögn | Numerical Data'!$B:$B),_xlfn.XMATCH($B$2,'Talnagögn | Numerical Data'!$1:$1))-1</f>
        <v>8.1389171273697158E-2</v>
      </c>
      <c r="L626" s="531" cm="1">
        <f t="array" ref="L626">INDEX('Talnagögn | Numerical Data'!$1:$1048576,_xlfn.XMATCH($A626,'Talnagögn | Numerical Data'!$B:$B),_xlfn.XMATCH($A$1,'Talnagögn | Numerical Data'!$1:$1))-INDEX('Talnagögn | Numerical Data'!$1:$1048576,_xlfn.XMATCH($A626,'Talnagögn | Numerical Data'!$B:$B),_xlfn.XMATCH($B$1,'Talnagögn | Numerical Data'!$1:$1))</f>
        <v>585.31901943326739</v>
      </c>
      <c r="M626" s="532" cm="1">
        <f t="array" ref="M626">INDEX('Talnagögn | Numerical Data'!$1:$1048576,_xlfn.XMATCH($A626,'Talnagögn | Numerical Data'!$B:$B),_xlfn.XMATCH($A$1,'Talnagögn | Numerical Data'!$1:$1))/INDEX('Talnagögn | Numerical Data'!$1:$1048576,_xlfn.XMATCH($A626,'Talnagögn | Numerical Data'!$B:$B),_xlfn.XMATCH($B$1,'Talnagögn | Numerical Data'!$1:$1))-1</f>
        <v>0.13184213320401339</v>
      </c>
      <c r="N626" s="178"/>
      <c r="O626" s="551" t="str">
        <f>'Talnagögn | Numerical Data'!$E$212</f>
        <v>Mólendi</v>
      </c>
      <c r="P626" s="531" cm="1">
        <f t="array" ref="P626">INDEX('Talnagögn | Numerical Data'!$1:$1048576,_xlfn.XMATCH($B626,'Talnagögn | Numerical Data'!$C:$C),_xlfn.XMATCH($B$4,'Talnagögn | Numerical Data'!$1:$1))-INDEX('Talnagögn | Numerical Data'!$1:$1048576,_xlfn.XMATCH($A626,'Talnagögn | Numerical Data'!$B:$B),_xlfn.XMATCH($B$2,'Talnagögn | Numerical Data'!$1:$1))</f>
        <v>-63.413454612568785</v>
      </c>
      <c r="Q626" s="544" cm="1">
        <f t="array" ref="Q626">INDEX('Talnagögn | Numerical Data'!$1:$1048576,_xlfn.XMATCH($B626,'Talnagögn | Numerical Data'!$C:$C),_xlfn.XMATCH($B$4,'Talnagögn | Numerical Data'!$1:$1))/INDEX('Talnagögn | Numerical Data'!$1:$1048576,_xlfn.XMATCH($A626,'Talnagögn | Numerical Data'!$B:$B),_xlfn.XMATCH($B$2,'Talnagögn | Numerical Data'!$1:$1))-1</f>
        <v>-1.3647061785578729E-2</v>
      </c>
      <c r="R626" s="531" cm="1">
        <f t="array" ref="R626">INDEX('Talnagögn | Numerical Data'!$1:$1048576,_xlfn.XMATCH($B626,'Talnagögn | Numerical Data'!$C:$C),_xlfn.XMATCH($B$5,'Talnagögn | Numerical Data'!$1:$1))-INDEX('Talnagögn | Numerical Data'!$1:$1048576,_xlfn.XMATCH($A626,'Talnagögn | Numerical Data'!$B:$B),_xlfn.XMATCH($B$1,'Talnagögn | Numerical Data'!$1:$1))</f>
        <v>-461.55408154808538</v>
      </c>
      <c r="S626" s="532" cm="1">
        <f t="array" ref="S626">INDEX('Talnagögn | Numerical Data'!$1:$1048576,_xlfn.XMATCH($B626,'Talnagögn | Numerical Data'!$C:$C),_xlfn.XMATCH($B$5,'Talnagögn | Numerical Data'!$1:$1))/INDEX('Talnagögn | Numerical Data'!$1:$1048576,_xlfn.XMATCH($A626,'Talnagögn | Numerical Data'!$B:$B),_xlfn.XMATCH($B$1,'Talnagögn | Numerical Data'!$1:$1))-1</f>
        <v>-0.10396428730308238</v>
      </c>
      <c r="U626" s="178"/>
      <c r="V626" s="410"/>
      <c r="Y626" s="534" t="str">
        <f>'Talnagögn | Numerical Data'!$G$212</f>
        <v>Grassland</v>
      </c>
      <c r="Z626" s="531" cm="1">
        <f t="array" ref="Z626">INDEX('Talnagögn | Numerical Data'!$1:$1048576,_xlfn.XMATCH($A626,'Talnagögn | Numerical Data'!$B:$B),_xlfn.XMATCH($A$1,'Talnagögn | Numerical Data'!$1:$1))</f>
        <v>5024.8635353547543</v>
      </c>
      <c r="AA626" s="543">
        <f>$F626/$F$629</f>
        <v>0.8264114633691565</v>
      </c>
      <c r="AB626" s="531" cm="1">
        <f t="array" ref="AB626">INDEX('Talnagögn | Numerical Data'!$1:$1048576,_xlfn.XMATCH($A626,'Talnagögn | Numerical Data'!$B:$B),_xlfn.XMATCH($A$1,'Talnagögn | Numerical Data'!$1:$1))-INDEX('Talnagögn | Numerical Data'!$1:$1048576,_xlfn.XMATCH($A626,'Talnagögn | Numerical Data'!$B:$B),_xlfn.XMATCH($B$3,'Talnagögn | Numerical Data'!$1:$1))</f>
        <v>-15.271946067456156</v>
      </c>
      <c r="AC626" s="547" cm="1">
        <f t="array" ref="AC626">INDEX('Talnagögn | Numerical Data'!$1:$1048576,_xlfn.XMATCH($A626,'Talnagögn | Numerical Data'!$B:$B),_xlfn.XMATCH($A$1,'Talnagögn | Numerical Data'!$1:$1))/INDEX('Talnagögn | Numerical Data'!$1:$1048576,_xlfn.XMATCH($A626,'Talnagögn | Numerical Data'!$B:$B),_xlfn.XMATCH($B$3,'Talnagögn | Numerical Data'!$1:$1))-1</f>
        <v>-3.0300665773267399E-3</v>
      </c>
      <c r="AD626" s="531" cm="1">
        <f t="array" ref="AD626">INDEX('Talnagögn | Numerical Data'!$1:$1048576,_xlfn.XMATCH($A626,'Talnagögn | Numerical Data'!$B:$B),_xlfn.XMATCH($A$1,'Talnagögn | Numerical Data'!$1:$1))-INDEX('Talnagögn | Numerical Data'!$1:$1048576,_xlfn.XMATCH($A626,'Talnagögn | Numerical Data'!$B:$B),_xlfn.XMATCH($B$2,'Talnagögn | Numerical Data'!$1:$1))</f>
        <v>378.18899039301959</v>
      </c>
      <c r="AE626" s="544" cm="1">
        <f t="array" ref="AE626">INDEX('Talnagögn | Numerical Data'!$1:$1048576,_xlfn.XMATCH($A626,'Talnagögn | Numerical Data'!$B:$B),_xlfn.XMATCH($A$1,'Talnagögn | Numerical Data'!$1:$1))/INDEX('Talnagögn | Numerical Data'!$1:$1048576,_xlfn.XMATCH($A626,'Talnagögn | Numerical Data'!$B:$B),_xlfn.XMATCH($B$2,'Talnagögn | Numerical Data'!$1:$1))-1</f>
        <v>8.1389171273697158E-2</v>
      </c>
      <c r="AF626" s="531" cm="1">
        <f t="array" ref="AF626">INDEX('Talnagögn | Numerical Data'!$1:$1048576,_xlfn.XMATCH($A626,'Talnagögn | Numerical Data'!$B:$B),_xlfn.XMATCH($A$1,'Talnagögn | Numerical Data'!$1:$1))-INDEX('Talnagögn | Numerical Data'!$1:$1048576,_xlfn.XMATCH($A626,'Talnagögn | Numerical Data'!$B:$B),_xlfn.XMATCH($B$1,'Talnagögn | Numerical Data'!$1:$1))</f>
        <v>585.31901943326739</v>
      </c>
      <c r="AG626" s="532" cm="1">
        <f t="array" ref="AG626">INDEX('Talnagögn | Numerical Data'!$1:$1048576,_xlfn.XMATCH($A626,'Talnagögn | Numerical Data'!$B:$B),_xlfn.XMATCH($A$1,'Talnagögn | Numerical Data'!$1:$1))/INDEX('Talnagögn | Numerical Data'!$1:$1048576,_xlfn.XMATCH($A626,'Talnagögn | Numerical Data'!$B:$B),_xlfn.XMATCH($B$1,'Talnagögn | Numerical Data'!$1:$1))-1</f>
        <v>0.13184213320401339</v>
      </c>
      <c r="AH626" s="178"/>
      <c r="AI626" s="534" t="str">
        <f>'Talnagögn | Numerical Data'!$G$212</f>
        <v>Grassland</v>
      </c>
      <c r="AJ626" s="531" cm="1">
        <f t="array" ref="AJ626">INDEX('Talnagögn | Numerical Data'!$1:$1048576,_xlfn.XMATCH($B626,'Talnagögn | Numerical Data'!$C:$C),_xlfn.XMATCH($B$4,'Talnagögn | Numerical Data'!$1:$1))-INDEX('Talnagögn | Numerical Data'!$1:$1048576,_xlfn.XMATCH($A626,'Talnagögn | Numerical Data'!$B:$B),_xlfn.XMATCH($B$2,'Talnagögn | Numerical Data'!$1:$1))</f>
        <v>-63.413454612568785</v>
      </c>
      <c r="AK626" s="544" cm="1">
        <f t="array" ref="AK626">INDEX('Talnagögn | Numerical Data'!$1:$1048576,_xlfn.XMATCH($B626,'Talnagögn | Numerical Data'!$C:$C),_xlfn.XMATCH($B$4,'Talnagögn | Numerical Data'!$1:$1))/INDEX('Talnagögn | Numerical Data'!$1:$1048576,_xlfn.XMATCH($A626,'Talnagögn | Numerical Data'!$B:$B),_xlfn.XMATCH($B$2,'Talnagögn | Numerical Data'!$1:$1))-1</f>
        <v>-1.3647061785578729E-2</v>
      </c>
      <c r="AL626" s="531" cm="1">
        <f t="array" ref="AL626">INDEX('Talnagögn | Numerical Data'!$1:$1048576,_xlfn.XMATCH($B626,'Talnagögn | Numerical Data'!$C:$C),_xlfn.XMATCH($B$5,'Talnagögn | Numerical Data'!$1:$1))-INDEX('Talnagögn | Numerical Data'!$1:$1048576,_xlfn.XMATCH($A626,'Talnagögn | Numerical Data'!$B:$B),_xlfn.XMATCH($B$1,'Talnagögn | Numerical Data'!$1:$1))</f>
        <v>-461.55408154808538</v>
      </c>
      <c r="AM626" s="532" cm="1">
        <f t="array" ref="AM626">INDEX('Talnagögn | Numerical Data'!$1:$1048576,_xlfn.XMATCH($B626,'Talnagögn | Numerical Data'!$C:$C),_xlfn.XMATCH($B$5,'Talnagögn | Numerical Data'!$1:$1))/INDEX('Talnagögn | Numerical Data'!$1:$1048576,_xlfn.XMATCH($A626,'Talnagögn | Numerical Data'!$B:$B),_xlfn.XMATCH($B$1,'Talnagögn | Numerical Data'!$1:$1))-1</f>
        <v>-0.10396428730308238</v>
      </c>
      <c r="AO626" s="178"/>
      <c r="AP626" s="178"/>
      <c r="AQ626" s="178"/>
      <c r="AR626" s="178"/>
      <c r="AS626" s="178"/>
    </row>
    <row r="627" spans="1:45" s="21" customFormat="1" ht="21" customHeight="1" x14ac:dyDescent="0.4">
      <c r="A627" s="27" t="s">
        <v>71</v>
      </c>
      <c r="B627" s="27" t="s">
        <v>280</v>
      </c>
      <c r="C627" s="27" t="s">
        <v>285</v>
      </c>
      <c r="D627" s="131" t="s">
        <v>44</v>
      </c>
      <c r="E627" s="534" t="str">
        <f>'Talnagögn | Numerical Data'!$E$213</f>
        <v>Votlendi</v>
      </c>
      <c r="F627" s="531" cm="1">
        <f t="array" ref="F627">INDEX('Talnagögn | Numerical Data'!$1:$1048576,_xlfn.XMATCH($A627,'Talnagögn | Numerical Data'!$B:$B),_xlfn.XMATCH($A$1,'Talnagögn | Numerical Data'!$1:$1))</f>
        <v>17.192248584685633</v>
      </c>
      <c r="G627" s="547">
        <f>$F627/$F$629</f>
        <v>2.8275138641100012E-3</v>
      </c>
      <c r="H627" s="659" cm="1">
        <f t="array" ref="H627">INDEX('Talnagögn | Numerical Data'!$1:$1048576,_xlfn.XMATCH($A627,'Talnagögn | Numerical Data'!$B:$B),_xlfn.XMATCH($A$1,'Talnagögn | Numerical Data'!$1:$1))-INDEX('Talnagögn | Numerical Data'!$1:$1048576,_xlfn.XMATCH($A627,'Talnagögn | Numerical Data'!$B:$B),_xlfn.XMATCH($B$3,'Talnagögn | Numerical Data'!$1:$1))</f>
        <v>4.2615747822331684E-2</v>
      </c>
      <c r="I627" s="547" cm="1">
        <f t="array" ref="I627">INDEX('Talnagögn | Numerical Data'!$1:$1048576,_xlfn.XMATCH($A627,'Talnagögn | Numerical Data'!$B:$B),_xlfn.XMATCH($A$1,'Talnagögn | Numerical Data'!$1:$1))/INDEX('Talnagögn | Numerical Data'!$1:$1048576,_xlfn.XMATCH($A627,'Talnagögn | Numerical Data'!$B:$B),_xlfn.XMATCH($B$3,'Talnagögn | Numerical Data'!$1:$1))-1</f>
        <v>2.4849364547752106E-3</v>
      </c>
      <c r="J627" s="540" cm="1">
        <f t="array" ref="J627">INDEX('Talnagögn | Numerical Data'!$1:$1048576,_xlfn.XMATCH($A627,'Talnagögn | Numerical Data'!$B:$B),_xlfn.XMATCH($A$1,'Talnagögn | Numerical Data'!$1:$1))-INDEX('Talnagögn | Numerical Data'!$1:$1048576,_xlfn.XMATCH($A627,'Talnagögn | Numerical Data'!$B:$B),_xlfn.XMATCH($B$2,'Talnagögn | Numerical Data'!$1:$1))</f>
        <v>-2.2516881266037423</v>
      </c>
      <c r="K627" s="543" cm="1">
        <f t="array" ref="K627">INDEX('Talnagögn | Numerical Data'!$1:$1048576,_xlfn.XMATCH($A627,'Talnagögn | Numerical Data'!$B:$B),_xlfn.XMATCH($A$1,'Talnagögn | Numerical Data'!$1:$1))/INDEX('Talnagögn | Numerical Data'!$1:$1048576,_xlfn.XMATCH($A627,'Talnagögn | Numerical Data'!$B:$B),_xlfn.XMATCH($B$2,'Talnagögn | Numerical Data'!$1:$1))-1</f>
        <v>-0.11580412753022318</v>
      </c>
      <c r="L627" s="531" cm="1">
        <f t="array" ref="L627">INDEX('Talnagögn | Numerical Data'!$1:$1048576,_xlfn.XMATCH($A627,'Talnagögn | Numerical Data'!$B:$B),_xlfn.XMATCH($A$1,'Talnagögn | Numerical Data'!$1:$1))-INDEX('Talnagögn | Numerical Data'!$1:$1048576,_xlfn.XMATCH($A627,'Talnagögn | Numerical Data'!$B:$B),_xlfn.XMATCH($B$1,'Talnagögn | Numerical Data'!$1:$1))</f>
        <v>14.533722666482147</v>
      </c>
      <c r="M627" s="532" cm="1">
        <f t="array" ref="M627">INDEX('Talnagögn | Numerical Data'!$1:$1048576,_xlfn.XMATCH($A627,'Talnagögn | Numerical Data'!$B:$B),_xlfn.XMATCH($A$1,'Talnagögn | Numerical Data'!$1:$1))/INDEX('Talnagögn | Numerical Data'!$1:$1048576,_xlfn.XMATCH($A627,'Talnagögn | Numerical Data'!$B:$B),_xlfn.XMATCH($B$1,'Talnagögn | Numerical Data'!$1:$1))-1</f>
        <v>5.4668350483125607</v>
      </c>
      <c r="N627" s="178"/>
      <c r="O627" s="551" t="str">
        <f>'Talnagögn | Numerical Data'!$E$213</f>
        <v>Votlendi</v>
      </c>
      <c r="P627" s="531" cm="1">
        <f t="array" ref="P627">INDEX('Talnagögn | Numerical Data'!$1:$1048576,_xlfn.XMATCH($B627,'Talnagögn | Numerical Data'!$C:$C),_xlfn.XMATCH($B$4,'Talnagögn | Numerical Data'!$1:$1))-INDEX('Talnagögn | Numerical Data'!$1:$1048576,_xlfn.XMATCH($A627,'Talnagögn | Numerical Data'!$B:$B),_xlfn.XMATCH($B$2,'Talnagögn | Numerical Data'!$1:$1))</f>
        <v>48.898966268793437</v>
      </c>
      <c r="Q627" s="543" cm="1">
        <f t="array" ref="Q627">INDEX('Talnagögn | Numerical Data'!$1:$1048576,_xlfn.XMATCH($B627,'Talnagögn | Numerical Data'!$C:$C),_xlfn.XMATCH($B$4,'Talnagögn | Numerical Data'!$1:$1))/INDEX('Talnagögn | Numerical Data'!$1:$1048576,_xlfn.XMATCH($A627,'Talnagögn | Numerical Data'!$B:$B),_xlfn.XMATCH($B$2,'Talnagögn | Numerical Data'!$1:$1))-1</f>
        <v>2.5148696477911354</v>
      </c>
      <c r="R627" s="531" cm="1">
        <f t="array" ref="R627">INDEX('Talnagögn | Numerical Data'!$1:$1048576,_xlfn.XMATCH($B627,'Talnagögn | Numerical Data'!$C:$C),_xlfn.XMATCH($B$5,'Talnagögn | Numerical Data'!$1:$1))-INDEX('Talnagögn | Numerical Data'!$1:$1048576,_xlfn.XMATCH($A627,'Talnagögn | Numerical Data'!$B:$B),_xlfn.XMATCH($B$1,'Talnagögn | Numerical Data'!$1:$1))</f>
        <v>119.96654141987341</v>
      </c>
      <c r="S627" s="532" cm="1">
        <f t="array" ref="S627">INDEX('Talnagögn | Numerical Data'!$1:$1048576,_xlfn.XMATCH($B627,'Talnagögn | Numerical Data'!$C:$C),_xlfn.XMATCH($B$5,'Talnagögn | Numerical Data'!$1:$1))/INDEX('Talnagögn | Numerical Data'!$1:$1048576,_xlfn.XMATCH($A627,'Talnagögn | Numerical Data'!$B:$B),_xlfn.XMATCH($B$1,'Talnagögn | Numerical Data'!$1:$1))-1</f>
        <v>45.125210402666106</v>
      </c>
      <c r="U627" s="178"/>
      <c r="V627" s="410"/>
      <c r="Y627" s="534" t="str">
        <f>'Talnagögn | Numerical Data'!$G$213</f>
        <v>Wetlands</v>
      </c>
      <c r="Z627" s="531" cm="1">
        <f t="array" ref="Z627">INDEX('Talnagögn | Numerical Data'!$1:$1048576,_xlfn.XMATCH($A627,'Talnagögn | Numerical Data'!$B:$B),_xlfn.XMATCH($A$1,'Talnagögn | Numerical Data'!$1:$1))</f>
        <v>17.192248584685633</v>
      </c>
      <c r="AA627" s="547">
        <f>$F627/$F$629</f>
        <v>2.8275138641100012E-3</v>
      </c>
      <c r="AB627" s="659" cm="1">
        <f t="array" ref="AB627">INDEX('Talnagögn | Numerical Data'!$1:$1048576,_xlfn.XMATCH($A627,'Talnagögn | Numerical Data'!$B:$B),_xlfn.XMATCH($A$1,'Talnagögn | Numerical Data'!$1:$1))-INDEX('Talnagögn | Numerical Data'!$1:$1048576,_xlfn.XMATCH($A627,'Talnagögn | Numerical Data'!$B:$B),_xlfn.XMATCH($B$3,'Talnagögn | Numerical Data'!$1:$1))</f>
        <v>4.2615747822331684E-2</v>
      </c>
      <c r="AC627" s="547" cm="1">
        <f t="array" ref="AC627">INDEX('Talnagögn | Numerical Data'!$1:$1048576,_xlfn.XMATCH($A627,'Talnagögn | Numerical Data'!$B:$B),_xlfn.XMATCH($A$1,'Talnagögn | Numerical Data'!$1:$1))/INDEX('Talnagögn | Numerical Data'!$1:$1048576,_xlfn.XMATCH($A627,'Talnagögn | Numerical Data'!$B:$B),_xlfn.XMATCH($B$3,'Talnagögn | Numerical Data'!$1:$1))-1</f>
        <v>2.4849364547752106E-3</v>
      </c>
      <c r="AD627" s="540" cm="1">
        <f t="array" ref="AD627">INDEX('Talnagögn | Numerical Data'!$1:$1048576,_xlfn.XMATCH($A627,'Talnagögn | Numerical Data'!$B:$B),_xlfn.XMATCH($A$1,'Talnagögn | Numerical Data'!$1:$1))-INDEX('Talnagögn | Numerical Data'!$1:$1048576,_xlfn.XMATCH($A627,'Talnagögn | Numerical Data'!$B:$B),_xlfn.XMATCH($B$2,'Talnagögn | Numerical Data'!$1:$1))</f>
        <v>-2.2516881266037423</v>
      </c>
      <c r="AE627" s="543" cm="1">
        <f t="array" ref="AE627">INDEX('Talnagögn | Numerical Data'!$1:$1048576,_xlfn.XMATCH($A627,'Talnagögn | Numerical Data'!$B:$B),_xlfn.XMATCH($A$1,'Talnagögn | Numerical Data'!$1:$1))/INDEX('Talnagögn | Numerical Data'!$1:$1048576,_xlfn.XMATCH($A627,'Talnagögn | Numerical Data'!$B:$B),_xlfn.XMATCH($B$2,'Talnagögn | Numerical Data'!$1:$1))-1</f>
        <v>-0.11580412753022318</v>
      </c>
      <c r="AF627" s="531" cm="1">
        <f t="array" ref="AF627">INDEX('Talnagögn | Numerical Data'!$1:$1048576,_xlfn.XMATCH($A627,'Talnagögn | Numerical Data'!$B:$B),_xlfn.XMATCH($A$1,'Talnagögn | Numerical Data'!$1:$1))-INDEX('Talnagögn | Numerical Data'!$1:$1048576,_xlfn.XMATCH($A627,'Talnagögn | Numerical Data'!$B:$B),_xlfn.XMATCH($B$1,'Talnagögn | Numerical Data'!$1:$1))</f>
        <v>14.533722666482147</v>
      </c>
      <c r="AG627" s="532" cm="1">
        <f t="array" ref="AG627">INDEX('Talnagögn | Numerical Data'!$1:$1048576,_xlfn.XMATCH($A627,'Talnagögn | Numerical Data'!$B:$B),_xlfn.XMATCH($A$1,'Talnagögn | Numerical Data'!$1:$1))/INDEX('Talnagögn | Numerical Data'!$1:$1048576,_xlfn.XMATCH($A627,'Talnagögn | Numerical Data'!$B:$B),_xlfn.XMATCH($B$1,'Talnagögn | Numerical Data'!$1:$1))-1</f>
        <v>5.4668350483125607</v>
      </c>
      <c r="AH627" s="178"/>
      <c r="AI627" s="534" t="str">
        <f>'Talnagögn | Numerical Data'!$G$213</f>
        <v>Wetlands</v>
      </c>
      <c r="AJ627" s="531" cm="1">
        <f t="array" ref="AJ627">INDEX('Talnagögn | Numerical Data'!$1:$1048576,_xlfn.XMATCH($B627,'Talnagögn | Numerical Data'!$C:$C),_xlfn.XMATCH($B$4,'Talnagögn | Numerical Data'!$1:$1))-INDEX('Talnagögn | Numerical Data'!$1:$1048576,_xlfn.XMATCH($A627,'Talnagögn | Numerical Data'!$B:$B),_xlfn.XMATCH($B$2,'Talnagögn | Numerical Data'!$1:$1))</f>
        <v>48.898966268793437</v>
      </c>
      <c r="AK627" s="543" cm="1">
        <f t="array" ref="AK627">INDEX('Talnagögn | Numerical Data'!$1:$1048576,_xlfn.XMATCH($B627,'Talnagögn | Numerical Data'!$C:$C),_xlfn.XMATCH($B$4,'Talnagögn | Numerical Data'!$1:$1))/INDEX('Talnagögn | Numerical Data'!$1:$1048576,_xlfn.XMATCH($A627,'Talnagögn | Numerical Data'!$B:$B),_xlfn.XMATCH($B$2,'Talnagögn | Numerical Data'!$1:$1))-1</f>
        <v>2.5148696477911354</v>
      </c>
      <c r="AL627" s="531" cm="1">
        <f t="array" ref="AL627">INDEX('Talnagögn | Numerical Data'!$1:$1048576,_xlfn.XMATCH($B627,'Talnagögn | Numerical Data'!$C:$C),_xlfn.XMATCH($B$5,'Talnagögn | Numerical Data'!$1:$1))-INDEX('Talnagögn | Numerical Data'!$1:$1048576,_xlfn.XMATCH($A627,'Talnagögn | Numerical Data'!$B:$B),_xlfn.XMATCH($B$1,'Talnagögn | Numerical Data'!$1:$1))</f>
        <v>119.96654141987341</v>
      </c>
      <c r="AM627" s="532" cm="1">
        <f t="array" ref="AM627">INDEX('Talnagögn | Numerical Data'!$1:$1048576,_xlfn.XMATCH($B627,'Talnagögn | Numerical Data'!$C:$C),_xlfn.XMATCH($B$5,'Talnagögn | Numerical Data'!$1:$1))/INDEX('Talnagögn | Numerical Data'!$1:$1048576,_xlfn.XMATCH($A627,'Talnagögn | Numerical Data'!$B:$B),_xlfn.XMATCH($B$1,'Talnagögn | Numerical Data'!$1:$1))-1</f>
        <v>45.125210402666106</v>
      </c>
      <c r="AO627" s="178"/>
      <c r="AP627" s="178"/>
      <c r="AQ627" s="178"/>
      <c r="AR627" s="178"/>
      <c r="AS627" s="178"/>
    </row>
    <row r="628" spans="1:45" s="21" customFormat="1" ht="21" customHeight="1" x14ac:dyDescent="0.4">
      <c r="A628" s="27" t="s">
        <v>85</v>
      </c>
      <c r="B628" s="27" t="s">
        <v>281</v>
      </c>
      <c r="C628" s="27" t="s">
        <v>286</v>
      </c>
      <c r="D628" s="131" t="s">
        <v>44</v>
      </c>
      <c r="E628" s="535" t="str">
        <f>'Talnagögn | Numerical Data'!$E$214</f>
        <v>Önnur losun</v>
      </c>
      <c r="F628" s="536" cm="1">
        <f t="array" ref="F628">INDEX('Talnagögn | Numerical Data'!$1:$1048576,_xlfn.XMATCH($A628,'Talnagögn | Numerical Data'!$B:$B),_xlfn.XMATCH($A$1,'Talnagögn | Numerical Data'!$1:$1))</f>
        <v>32.763450946138619</v>
      </c>
      <c r="G628" s="545">
        <f>$F628/$F$629</f>
        <v>5.3884232379477794E-3</v>
      </c>
      <c r="H628" s="541" cm="1">
        <f t="array" ref="H628">INDEX('Talnagögn | Numerical Data'!$1:$1048576,_xlfn.XMATCH($A628,'Talnagögn | Numerical Data'!$B:$B),_xlfn.XMATCH($A$1,'Talnagögn | Numerical Data'!$1:$1))-INDEX('Talnagögn | Numerical Data'!$1:$1048576,_xlfn.XMATCH($A628,'Talnagögn | Numerical Data'!$B:$B),_xlfn.XMATCH($B$3,'Talnagögn | Numerical Data'!$1:$1))</f>
        <v>6.2019491203400321</v>
      </c>
      <c r="I628" s="548" cm="1">
        <f t="array" ref="I628">INDEX('Talnagögn | Numerical Data'!$1:$1048576,_xlfn.XMATCH($A628,'Talnagögn | Numerical Data'!$B:$B),_xlfn.XMATCH($A$1,'Talnagögn | Numerical Data'!$1:$1))/INDEX('Talnagögn | Numerical Data'!$1:$1048576,_xlfn.XMATCH($A628,'Talnagögn | Numerical Data'!$B:$B),_xlfn.XMATCH($B$3,'Talnagögn | Numerical Data'!$1:$1))-1</f>
        <v>0.23349391766380534</v>
      </c>
      <c r="J628" s="536" cm="1">
        <f t="array" ref="J628">INDEX('Talnagögn | Numerical Data'!$1:$1048576,_xlfn.XMATCH($A628,'Talnagögn | Numerical Data'!$B:$B),_xlfn.XMATCH($A$1,'Talnagögn | Numerical Data'!$1:$1))-INDEX('Talnagögn | Numerical Data'!$1:$1048576,_xlfn.XMATCH($A628,'Talnagögn | Numerical Data'!$B:$B),_xlfn.XMATCH($B$2,'Talnagögn | Numerical Data'!$1:$1))</f>
        <v>-25.271480488359884</v>
      </c>
      <c r="K628" s="548" cm="1">
        <f t="array" ref="K628">INDEX('Talnagögn | Numerical Data'!$1:$1048576,_xlfn.XMATCH($A628,'Talnagögn | Numerical Data'!$B:$B),_xlfn.XMATCH($A$1,'Talnagögn | Numerical Data'!$1:$1))/INDEX('Talnagögn | Numerical Data'!$1:$1048576,_xlfn.XMATCH($A628,'Talnagögn | Numerical Data'!$B:$B),_xlfn.XMATCH($B$2,'Talnagögn | Numerical Data'!$1:$1))-1</f>
        <v>-0.43545292229530252</v>
      </c>
      <c r="L628" s="541" cm="1">
        <f t="array" ref="L628">INDEX('Talnagögn | Numerical Data'!$1:$1048576,_xlfn.XMATCH($A628,'Talnagögn | Numerical Data'!$B:$B),_xlfn.XMATCH($A$1,'Talnagögn | Numerical Data'!$1:$1))-INDEX('Talnagögn | Numerical Data'!$1:$1048576,_xlfn.XMATCH($A628,'Talnagögn | Numerical Data'!$B:$B),_xlfn.XMATCH($B$1,'Talnagögn | Numerical Data'!$1:$1))</f>
        <v>2.156450575413146</v>
      </c>
      <c r="M628" s="921" cm="1">
        <f t="array" ref="M628">INDEX('Talnagögn | Numerical Data'!$1:$1048576,_xlfn.XMATCH($A628,'Talnagögn | Numerical Data'!$B:$B),_xlfn.XMATCH($A$1,'Talnagögn | Numerical Data'!$1:$1))/INDEX('Talnagögn | Numerical Data'!$1:$1048576,_xlfn.XMATCH($A628,'Talnagögn | Numerical Data'!$B:$B),_xlfn.XMATCH($B$1,'Talnagögn | Numerical Data'!$1:$1))-1</f>
        <v>7.0456122759279483E-2</v>
      </c>
      <c r="N628" s="178"/>
      <c r="O628" s="554" t="str">
        <f>'Talnagögn | Numerical Data'!$E$214</f>
        <v>Önnur losun</v>
      </c>
      <c r="P628" s="536" cm="1">
        <f t="array" ref="P628">INDEX('Talnagögn | Numerical Data'!$1:$1048576,_xlfn.XMATCH($B628,'Talnagögn | Numerical Data'!$C:$C),_xlfn.XMATCH($B$4,'Talnagögn | Numerical Data'!$1:$1))-INDEX('Talnagögn | Numerical Data'!$1:$1048576,_xlfn.XMATCH($A628,'Talnagögn | Numerical Data'!$B:$B),_xlfn.XMATCH($B$2,'Talnagögn | Numerical Data'!$1:$1))</f>
        <v>-25.436777102236192</v>
      </c>
      <c r="Q628" s="548" cm="1">
        <f t="array" ref="Q628">INDEX('Talnagögn | Numerical Data'!$1:$1048576,_xlfn.XMATCH($B628,'Talnagögn | Numerical Data'!$C:$C),_xlfn.XMATCH($B$4,'Talnagögn | Numerical Data'!$1:$1))/INDEX('Talnagögn | Numerical Data'!$1:$1048576,_xlfn.XMATCH($A628,'Talnagögn | Numerical Data'!$B:$B),_xlfn.XMATCH($B$2,'Talnagögn | Numerical Data'!$1:$1))-1</f>
        <v>-0.43830114852372271</v>
      </c>
      <c r="R628" s="541" cm="1">
        <f t="array" ref="R628">INDEX('Talnagögn | Numerical Data'!$1:$1048576,_xlfn.XMATCH($B628,'Talnagögn | Numerical Data'!$C:$C),_xlfn.XMATCH($B$5,'Talnagögn | Numerical Data'!$1:$1))-INDEX('Talnagögn | Numerical Data'!$1:$1048576,_xlfn.XMATCH($A628,'Talnagögn | Numerical Data'!$B:$B),_xlfn.XMATCH($B$1,'Talnagögn | Numerical Data'!$1:$1))</f>
        <v>1.8605477504943337</v>
      </c>
      <c r="S628" s="921" cm="1">
        <f t="array" ref="S628">INDEX('Talnagögn | Numerical Data'!$1:$1048576,_xlfn.XMATCH($B628,'Talnagögn | Numerical Data'!$C:$C),_xlfn.XMATCH($B$5,'Talnagögn | Numerical Data'!$1:$1))/INDEX('Talnagögn | Numerical Data'!$1:$1048576,_xlfn.XMATCH($A628,'Talnagögn | Numerical Data'!$B:$B),_xlfn.XMATCH($B$1,'Talnagögn | Numerical Data'!$1:$1))-1</f>
        <v>6.0788307509999751E-2</v>
      </c>
      <c r="U628" s="178"/>
      <c r="V628" s="410"/>
      <c r="Y628" s="535" t="str">
        <f>'Talnagögn | Numerical Data'!$G$214</f>
        <v>Other Emissions</v>
      </c>
      <c r="Z628" s="536" cm="1">
        <f t="array" ref="Z628">INDEX('Talnagögn | Numerical Data'!$1:$1048576,_xlfn.XMATCH($A628,'Talnagögn | Numerical Data'!$B:$B),_xlfn.XMATCH($A$1,'Talnagögn | Numerical Data'!$1:$1))</f>
        <v>32.763450946138619</v>
      </c>
      <c r="AA628" s="545">
        <f>$F628/$F$629</f>
        <v>5.3884232379477794E-3</v>
      </c>
      <c r="AB628" s="541" cm="1">
        <f t="array" ref="AB628">INDEX('Talnagögn | Numerical Data'!$1:$1048576,_xlfn.XMATCH($A628,'Talnagögn | Numerical Data'!$B:$B),_xlfn.XMATCH($A$1,'Talnagögn | Numerical Data'!$1:$1))-INDEX('Talnagögn | Numerical Data'!$1:$1048576,_xlfn.XMATCH($A628,'Talnagögn | Numerical Data'!$B:$B),_xlfn.XMATCH($B$3,'Talnagögn | Numerical Data'!$1:$1))</f>
        <v>6.2019491203400321</v>
      </c>
      <c r="AC628" s="548" cm="1">
        <f t="array" ref="AC628">INDEX('Talnagögn | Numerical Data'!$1:$1048576,_xlfn.XMATCH($A628,'Talnagögn | Numerical Data'!$B:$B),_xlfn.XMATCH($A$1,'Talnagögn | Numerical Data'!$1:$1))/INDEX('Talnagögn | Numerical Data'!$1:$1048576,_xlfn.XMATCH($A628,'Talnagögn | Numerical Data'!$B:$B),_xlfn.XMATCH($B$3,'Talnagögn | Numerical Data'!$1:$1))-1</f>
        <v>0.23349391766380534</v>
      </c>
      <c r="AD628" s="536" cm="1">
        <f t="array" ref="AD628">INDEX('Talnagögn | Numerical Data'!$1:$1048576,_xlfn.XMATCH($A628,'Talnagögn | Numerical Data'!$B:$B),_xlfn.XMATCH($A$1,'Talnagögn | Numerical Data'!$1:$1))-INDEX('Talnagögn | Numerical Data'!$1:$1048576,_xlfn.XMATCH($A628,'Talnagögn | Numerical Data'!$B:$B),_xlfn.XMATCH($B$2,'Talnagögn | Numerical Data'!$1:$1))</f>
        <v>-25.271480488359884</v>
      </c>
      <c r="AE628" s="548" cm="1">
        <f t="array" ref="AE628">INDEX('Talnagögn | Numerical Data'!$1:$1048576,_xlfn.XMATCH($A628,'Talnagögn | Numerical Data'!$B:$B),_xlfn.XMATCH($A$1,'Talnagögn | Numerical Data'!$1:$1))/INDEX('Talnagögn | Numerical Data'!$1:$1048576,_xlfn.XMATCH($A628,'Talnagögn | Numerical Data'!$B:$B),_xlfn.XMATCH($B$2,'Talnagögn | Numerical Data'!$1:$1))-1</f>
        <v>-0.43545292229530252</v>
      </c>
      <c r="AF628" s="541" cm="1">
        <f t="array" ref="AF628">INDEX('Talnagögn | Numerical Data'!$1:$1048576,_xlfn.XMATCH($A628,'Talnagögn | Numerical Data'!$B:$B),_xlfn.XMATCH($A$1,'Talnagögn | Numerical Data'!$1:$1))-INDEX('Talnagögn | Numerical Data'!$1:$1048576,_xlfn.XMATCH($A628,'Talnagögn | Numerical Data'!$B:$B),_xlfn.XMATCH($B$1,'Talnagögn | Numerical Data'!$1:$1))</f>
        <v>2.156450575413146</v>
      </c>
      <c r="AG628" s="921" cm="1">
        <f t="array" ref="AG628">INDEX('Talnagögn | Numerical Data'!$1:$1048576,_xlfn.XMATCH($A628,'Talnagögn | Numerical Data'!$B:$B),_xlfn.XMATCH($A$1,'Talnagögn | Numerical Data'!$1:$1))/INDEX('Talnagögn | Numerical Data'!$1:$1048576,_xlfn.XMATCH($A628,'Talnagögn | Numerical Data'!$B:$B),_xlfn.XMATCH($B$1,'Talnagögn | Numerical Data'!$1:$1))-1</f>
        <v>7.0456122759279483E-2</v>
      </c>
      <c r="AH628" s="178"/>
      <c r="AI628" s="535" t="str">
        <f>'Talnagögn | Numerical Data'!$G$214</f>
        <v>Other Emissions</v>
      </c>
      <c r="AJ628" s="536" cm="1">
        <f t="array" ref="AJ628">INDEX('Talnagögn | Numerical Data'!$1:$1048576,_xlfn.XMATCH($B628,'Talnagögn | Numerical Data'!$C:$C),_xlfn.XMATCH($B$4,'Talnagögn | Numerical Data'!$1:$1))-INDEX('Talnagögn | Numerical Data'!$1:$1048576,_xlfn.XMATCH($A628,'Talnagögn | Numerical Data'!$B:$B),_xlfn.XMATCH($B$2,'Talnagögn | Numerical Data'!$1:$1))</f>
        <v>-25.436777102236192</v>
      </c>
      <c r="AK628" s="548" cm="1">
        <f t="array" ref="AK628">INDEX('Talnagögn | Numerical Data'!$1:$1048576,_xlfn.XMATCH($B628,'Talnagögn | Numerical Data'!$C:$C),_xlfn.XMATCH($B$4,'Talnagögn | Numerical Data'!$1:$1))/INDEX('Talnagögn | Numerical Data'!$1:$1048576,_xlfn.XMATCH($A628,'Talnagögn | Numerical Data'!$B:$B),_xlfn.XMATCH($B$2,'Talnagögn | Numerical Data'!$1:$1))-1</f>
        <v>-0.43830114852372271</v>
      </c>
      <c r="AL628" s="541" cm="1">
        <f t="array" ref="AL628">INDEX('Talnagögn | Numerical Data'!$1:$1048576,_xlfn.XMATCH($B628,'Talnagögn | Numerical Data'!$C:$C),_xlfn.XMATCH($B$5,'Talnagögn | Numerical Data'!$1:$1))-INDEX('Talnagögn | Numerical Data'!$1:$1048576,_xlfn.XMATCH($A628,'Talnagögn | Numerical Data'!$B:$B),_xlfn.XMATCH($B$1,'Talnagögn | Numerical Data'!$1:$1))</f>
        <v>1.8605477504943337</v>
      </c>
      <c r="AM628" s="921" cm="1">
        <f t="array" ref="AM628">INDEX('Talnagögn | Numerical Data'!$1:$1048576,_xlfn.XMATCH($B628,'Talnagögn | Numerical Data'!$C:$C),_xlfn.XMATCH($B$5,'Talnagögn | Numerical Data'!$1:$1))/INDEX('Talnagögn | Numerical Data'!$1:$1048576,_xlfn.XMATCH($A628,'Talnagögn | Numerical Data'!$B:$B),_xlfn.XMATCH($B$1,'Talnagögn | Numerical Data'!$1:$1))-1</f>
        <v>6.0788307509999751E-2</v>
      </c>
      <c r="AO628" s="178"/>
      <c r="AP628" s="178"/>
      <c r="AQ628" s="178"/>
      <c r="AR628" s="178"/>
      <c r="AS628" s="178"/>
    </row>
    <row r="629" spans="1:45" ht="29.25" customHeight="1" x14ac:dyDescent="0.4">
      <c r="A629" s="27" t="s">
        <v>41</v>
      </c>
      <c r="B629" s="27" t="s">
        <v>224</v>
      </c>
      <c r="C629" s="27" t="s">
        <v>231</v>
      </c>
      <c r="D629" s="131" t="s">
        <v>44</v>
      </c>
      <c r="E629" s="537" t="s">
        <v>12</v>
      </c>
      <c r="F629" s="538" cm="1">
        <f t="array" ref="F629">INDEX('Talnagögn | Numerical Data'!$1:$1048576,_xlfn.XMATCH($A629,'Talnagögn | Numerical Data'!$B:$B),_xlfn.XMATCH($A$1,'Talnagögn | Numerical Data'!$1:$1))</f>
        <v>6080.3410384327608</v>
      </c>
      <c r="G629" s="546">
        <f>SUM(G624:G628)</f>
        <v>0.99999999999999989</v>
      </c>
      <c r="H629" s="538" cm="1">
        <f t="array" ref="H629">INDEX('Talnagögn | Numerical Data'!$1:$1048576,_xlfn.XMATCH($A629,'Talnagögn | Numerical Data'!$B:$B),_xlfn.XMATCH($A$1,'Talnagögn | Numerical Data'!$1:$1))-INDEX('Talnagögn | Numerical Data'!$1:$1048576,_xlfn.XMATCH($A629,'Talnagögn | Numerical Data'!$B:$B),_xlfn.XMATCH($B$3,'Talnagögn | Numerical Data'!$1:$1))</f>
        <v>-135.57528168190584</v>
      </c>
      <c r="I629" s="552" cm="1">
        <f t="array" ref="I629">INDEX('Talnagögn | Numerical Data'!$1:$1048576,_xlfn.XMATCH($A629,'Talnagögn | Numerical Data'!$B:$B),_xlfn.XMATCH($A$1,'Talnagögn | Numerical Data'!$1:$1))/INDEX('Talnagögn | Numerical Data'!$1:$1048576,_xlfn.XMATCH($A629,'Talnagögn | Numerical Data'!$B:$B),_xlfn.XMATCH($B$3,'Talnagögn | Numerical Data'!$1:$1))-1</f>
        <v>-2.1810988871131531E-2</v>
      </c>
      <c r="J629" s="538" cm="1">
        <f t="array" ref="J629">INDEX('Talnagögn | Numerical Data'!$1:$1048576,_xlfn.XMATCH($A629,'Talnagögn | Numerical Data'!$B:$B),_xlfn.XMATCH($A$1,'Talnagögn | Numerical Data'!$1:$1))-INDEX('Talnagögn | Numerical Data'!$1:$1048576,_xlfn.XMATCH($A629,'Talnagögn | Numerical Data'!$B:$B),_xlfn.XMATCH($B$2,'Talnagögn | Numerical Data'!$1:$1))</f>
        <v>-568.72412297566552</v>
      </c>
      <c r="K629" s="552" cm="1">
        <f t="array" ref="K629">INDEX('Talnagögn | Numerical Data'!$1:$1048576,_xlfn.XMATCH($A629,'Talnagögn | Numerical Data'!$B:$B),_xlfn.XMATCH($A$1,'Talnagögn | Numerical Data'!$1:$1))/INDEX('Talnagögn | Numerical Data'!$1:$1048576,_xlfn.XMATCH($A629,'Talnagögn | Numerical Data'!$B:$B),_xlfn.XMATCH($B$2,'Talnagögn | Numerical Data'!$1:$1))-1</f>
        <v>-8.5534448703642463E-2</v>
      </c>
      <c r="L629" s="538" cm="1">
        <f t="array" ref="L629">INDEX('Talnagögn | Numerical Data'!$1:$1048576,_xlfn.XMATCH($A629,'Talnagögn | Numerical Data'!$B:$B),_xlfn.XMATCH($A$1,'Talnagögn | Numerical Data'!$1:$1))-INDEX('Talnagögn | Numerical Data'!$1:$1048576,_xlfn.XMATCH($A629,'Talnagögn | Numerical Data'!$B:$B),_xlfn.XMATCH($B$1,'Talnagögn | Numerical Data'!$1:$1))</f>
        <v>-606.11327517406517</v>
      </c>
      <c r="M629" s="920" cm="1">
        <f t="array" ref="M629">INDEX('Talnagögn | Numerical Data'!$1:$1048576,_xlfn.XMATCH($A629,'Talnagögn | Numerical Data'!$B:$B),_xlfn.XMATCH($A$1,'Talnagögn | Numerical Data'!$1:$1))/INDEX('Talnagögn | Numerical Data'!$1:$1048576,_xlfn.XMATCH($A629,'Talnagögn | Numerical Data'!$B:$B),_xlfn.XMATCH($B$1,'Talnagögn | Numerical Data'!$1:$1))-1</f>
        <v>-9.0647934876431413E-2</v>
      </c>
      <c r="O629" s="553" t="s">
        <v>12</v>
      </c>
      <c r="P629" s="538" cm="1">
        <f t="array" ref="P629">INDEX('Talnagögn | Numerical Data'!$1:$1048576,_xlfn.XMATCH($B629,'Talnagögn | Numerical Data'!$C:$C),_xlfn.XMATCH($B$4,'Talnagögn | Numerical Data'!$1:$1))-INDEX('Talnagögn | Numerical Data'!$1:$1048576,_xlfn.XMATCH($A629,'Talnagögn | Numerical Data'!$B:$B),_xlfn.XMATCH($B$2,'Talnagögn | Numerical Data'!$1:$1))</f>
        <v>-1129.7228351973372</v>
      </c>
      <c r="Q629" s="546" cm="1">
        <f t="array" ref="Q629">INDEX('Talnagögn | Numerical Data'!$1:$1048576,_xlfn.XMATCH($B629,'Talnagögn | Numerical Data'!$C:$C),_xlfn.XMATCH($B$4,'Talnagögn | Numerical Data'!$1:$1))/INDEX('Talnagögn | Numerical Data'!$1:$1048576,_xlfn.XMATCH($A629,'Talnagögn | Numerical Data'!$B:$B),_xlfn.XMATCH($B$2,'Talnagögn | Numerical Data'!$1:$1))-1</f>
        <v>-0.16990701817066201</v>
      </c>
      <c r="R629" s="538" cm="1">
        <f t="array" ref="R629">INDEX('Talnagögn | Numerical Data'!$1:$1048576,_xlfn.XMATCH($B629,'Talnagögn | Numerical Data'!$C:$C),_xlfn.XMATCH($B$5,'Talnagögn | Numerical Data'!$1:$1))-INDEX('Talnagögn | Numerical Data'!$1:$1048576,_xlfn.XMATCH($A629,'Talnagögn | Numerical Data'!$B:$B),_xlfn.XMATCH($B$1,'Talnagögn | Numerical Data'!$1:$1))</f>
        <v>-2902.0594394253853</v>
      </c>
      <c r="S629" s="539" cm="1">
        <f t="array" ref="S629">INDEX('Talnagögn | Numerical Data'!$1:$1048576,_xlfn.XMATCH($B629,'Talnagögn | Numerical Data'!$C:$C),_xlfn.XMATCH($B$5,'Talnagögn | Numerical Data'!$1:$1))/INDEX('Talnagögn | Numerical Data'!$1:$1048576,_xlfn.XMATCH($A629,'Talnagögn | Numerical Data'!$B:$B),_xlfn.XMATCH($B$1,'Talnagögn | Numerical Data'!$1:$1))-1</f>
        <v>-0.4340206787205203</v>
      </c>
      <c r="U629" s="178"/>
      <c r="V629" s="162"/>
      <c r="Y629" s="537" t="s">
        <v>12</v>
      </c>
      <c r="Z629" s="538" cm="1">
        <f t="array" ref="Z629">INDEX('Talnagögn | Numerical Data'!$1:$1048576,_xlfn.XMATCH($A629,'Talnagögn | Numerical Data'!$B:$B),_xlfn.XMATCH($A$1,'Talnagögn | Numerical Data'!$1:$1))</f>
        <v>6080.3410384327608</v>
      </c>
      <c r="AA629" s="546">
        <f>SUM(AA624:AA628)</f>
        <v>0.99999999999999989</v>
      </c>
      <c r="AB629" s="538" cm="1">
        <f t="array" ref="AB629">INDEX('Talnagögn | Numerical Data'!$1:$1048576,_xlfn.XMATCH($A629,'Talnagögn | Numerical Data'!$B:$B),_xlfn.XMATCH($A$1,'Talnagögn | Numerical Data'!$1:$1))-INDEX('Talnagögn | Numerical Data'!$1:$1048576,_xlfn.XMATCH($A629,'Talnagögn | Numerical Data'!$B:$B),_xlfn.XMATCH($B$3,'Talnagögn | Numerical Data'!$1:$1))</f>
        <v>-135.57528168190584</v>
      </c>
      <c r="AC629" s="552" cm="1">
        <f t="array" ref="AC629">INDEX('Talnagögn | Numerical Data'!$1:$1048576,_xlfn.XMATCH($A629,'Talnagögn | Numerical Data'!$B:$B),_xlfn.XMATCH($A$1,'Talnagögn | Numerical Data'!$1:$1))/INDEX('Talnagögn | Numerical Data'!$1:$1048576,_xlfn.XMATCH($A629,'Talnagögn | Numerical Data'!$B:$B),_xlfn.XMATCH($B$3,'Talnagögn | Numerical Data'!$1:$1))-1</f>
        <v>-2.1810988871131531E-2</v>
      </c>
      <c r="AD629" s="538" cm="1">
        <f t="array" ref="AD629">INDEX('Talnagögn | Numerical Data'!$1:$1048576,_xlfn.XMATCH($A629,'Talnagögn | Numerical Data'!$B:$B),_xlfn.XMATCH($A$1,'Talnagögn | Numerical Data'!$1:$1))-INDEX('Talnagögn | Numerical Data'!$1:$1048576,_xlfn.XMATCH($A629,'Talnagögn | Numerical Data'!$B:$B),_xlfn.XMATCH($B$2,'Talnagögn | Numerical Data'!$1:$1))</f>
        <v>-568.72412297566552</v>
      </c>
      <c r="AE629" s="552" cm="1">
        <f t="array" ref="AE629">INDEX('Talnagögn | Numerical Data'!$1:$1048576,_xlfn.XMATCH($A629,'Talnagögn | Numerical Data'!$B:$B),_xlfn.XMATCH($A$1,'Talnagögn | Numerical Data'!$1:$1))/INDEX('Talnagögn | Numerical Data'!$1:$1048576,_xlfn.XMATCH($A629,'Talnagögn | Numerical Data'!$B:$B),_xlfn.XMATCH($B$2,'Talnagögn | Numerical Data'!$1:$1))-1</f>
        <v>-8.5534448703642463E-2</v>
      </c>
      <c r="AF629" s="538" cm="1">
        <f t="array" ref="AF629">INDEX('Talnagögn | Numerical Data'!$1:$1048576,_xlfn.XMATCH($A629,'Talnagögn | Numerical Data'!$B:$B),_xlfn.XMATCH($A$1,'Talnagögn | Numerical Data'!$1:$1))-INDEX('Talnagögn | Numerical Data'!$1:$1048576,_xlfn.XMATCH($A629,'Talnagögn | Numerical Data'!$B:$B),_xlfn.XMATCH($B$1,'Talnagögn | Numerical Data'!$1:$1))</f>
        <v>-606.11327517406517</v>
      </c>
      <c r="AG629" s="920" cm="1">
        <f t="array" ref="AG629">INDEX('Talnagögn | Numerical Data'!$1:$1048576,_xlfn.XMATCH($A629,'Talnagögn | Numerical Data'!$B:$B),_xlfn.XMATCH($A$1,'Talnagögn | Numerical Data'!$1:$1))/INDEX('Talnagögn | Numerical Data'!$1:$1048576,_xlfn.XMATCH($A629,'Talnagögn | Numerical Data'!$B:$B),_xlfn.XMATCH($B$1,'Talnagögn | Numerical Data'!$1:$1))-1</f>
        <v>-9.0647934876431413E-2</v>
      </c>
      <c r="AI629" s="553" t="s">
        <v>12</v>
      </c>
      <c r="AJ629" s="538" cm="1">
        <f t="array" ref="AJ629">INDEX('Talnagögn | Numerical Data'!$1:$1048576,_xlfn.XMATCH($B629,'Talnagögn | Numerical Data'!$C:$C),_xlfn.XMATCH($B$4,'Talnagögn | Numerical Data'!$1:$1))-INDEX('Talnagögn | Numerical Data'!$1:$1048576,_xlfn.XMATCH($A629,'Talnagögn | Numerical Data'!$B:$B),_xlfn.XMATCH($B$2,'Talnagögn | Numerical Data'!$1:$1))</f>
        <v>-1129.7228351973372</v>
      </c>
      <c r="AK629" s="546" cm="1">
        <f t="array" ref="AK629">INDEX('Talnagögn | Numerical Data'!$1:$1048576,_xlfn.XMATCH($B629,'Talnagögn | Numerical Data'!$C:$C),_xlfn.XMATCH($B$4,'Talnagögn | Numerical Data'!$1:$1))/INDEX('Talnagögn | Numerical Data'!$1:$1048576,_xlfn.XMATCH($A629,'Talnagögn | Numerical Data'!$B:$B),_xlfn.XMATCH($B$2,'Talnagögn | Numerical Data'!$1:$1))-1</f>
        <v>-0.16990701817066201</v>
      </c>
      <c r="AL629" s="538" cm="1">
        <f t="array" ref="AL629">INDEX('Talnagögn | Numerical Data'!$1:$1048576,_xlfn.XMATCH($B629,'Talnagögn | Numerical Data'!$C:$C),_xlfn.XMATCH($B$5,'Talnagögn | Numerical Data'!$1:$1))-INDEX('Talnagögn | Numerical Data'!$1:$1048576,_xlfn.XMATCH($A629,'Talnagögn | Numerical Data'!$B:$B),_xlfn.XMATCH($B$1,'Talnagögn | Numerical Data'!$1:$1))</f>
        <v>-2902.0594394253853</v>
      </c>
      <c r="AM629" s="539" cm="1">
        <f t="array" ref="AM629">INDEX('Talnagögn | Numerical Data'!$1:$1048576,_xlfn.XMATCH($B629,'Talnagögn | Numerical Data'!$C:$C),_xlfn.XMATCH($B$5,'Talnagögn | Numerical Data'!$1:$1))/INDEX('Talnagögn | Numerical Data'!$1:$1048576,_xlfn.XMATCH($A629,'Talnagögn | Numerical Data'!$B:$B),_xlfn.XMATCH($B$1,'Talnagögn | Numerical Data'!$1:$1))-1</f>
        <v>-0.4340206787205203</v>
      </c>
      <c r="AO629" s="178"/>
      <c r="AP629" s="178"/>
      <c r="AQ629" s="178"/>
      <c r="AR629" s="178"/>
      <c r="AS629" s="178"/>
    </row>
    <row r="630" spans="1:45" s="21" customFormat="1" x14ac:dyDescent="0.4">
      <c r="A630" s="632" t="str">
        <f>"LANDNOTKUN "&amp;$A$1</f>
        <v>LANDNOTKUN 2025</v>
      </c>
      <c r="B630" s="632" t="str">
        <f>"LULUCF "&amp;$A$1</f>
        <v>LULUCF 2025</v>
      </c>
      <c r="C630" s="645"/>
      <c r="D630" s="131" t="s">
        <v>44</v>
      </c>
      <c r="F630" s="178"/>
      <c r="G630" s="178"/>
      <c r="H630" s="127"/>
      <c r="I630" s="178"/>
      <c r="J630" s="178"/>
      <c r="K630" s="178"/>
      <c r="L630" s="178"/>
      <c r="M630" s="178"/>
      <c r="N630" s="178"/>
      <c r="O630" s="178"/>
      <c r="P630" s="178"/>
      <c r="Q630" s="178"/>
      <c r="T630" s="178"/>
      <c r="U630" s="178"/>
      <c r="V630" s="410"/>
      <c r="Z630" s="178"/>
      <c r="AA630" s="178"/>
      <c r="AB630" s="178"/>
      <c r="AC630" s="178"/>
      <c r="AD630" s="178"/>
      <c r="AE630" s="178"/>
      <c r="AF630" s="178"/>
      <c r="AG630" s="178"/>
      <c r="AH630" s="178"/>
      <c r="AI630" s="178"/>
      <c r="AJ630" s="178"/>
      <c r="AK630" s="178"/>
      <c r="AL630" s="178"/>
      <c r="AM630" s="178"/>
      <c r="AN630" s="178"/>
      <c r="AO630" s="178"/>
      <c r="AP630" s="178"/>
      <c r="AQ630" s="178"/>
      <c r="AR630" s="178"/>
      <c r="AS630" s="178"/>
    </row>
    <row r="631" spans="1:45" s="21" customFormat="1" x14ac:dyDescent="0.4">
      <c r="A631" s="27"/>
      <c r="B631" s="645" t="s">
        <v>44</v>
      </c>
      <c r="C631" s="645"/>
      <c r="D631" s="131" t="s">
        <v>44</v>
      </c>
      <c r="F631" s="178"/>
      <c r="G631" s="178"/>
      <c r="H631" s="127"/>
      <c r="I631" s="178"/>
      <c r="J631" s="178"/>
      <c r="K631" s="178"/>
      <c r="L631" s="178"/>
      <c r="M631" s="178"/>
      <c r="N631" s="178"/>
      <c r="O631" s="178"/>
      <c r="P631" s="178"/>
      <c r="Q631" s="178"/>
      <c r="R631" s="178"/>
      <c r="S631" s="178"/>
      <c r="T631" s="178"/>
      <c r="U631" s="178"/>
      <c r="V631" s="410"/>
      <c r="Z631" s="178"/>
      <c r="AA631" s="178"/>
      <c r="AB631" s="178"/>
      <c r="AC631" s="178"/>
      <c r="AD631" s="178"/>
      <c r="AE631" s="178"/>
      <c r="AF631" s="178"/>
      <c r="AG631" s="178"/>
      <c r="AH631" s="178"/>
      <c r="AI631" s="178"/>
      <c r="AJ631" s="178"/>
      <c r="AK631" s="178"/>
      <c r="AL631" s="178"/>
      <c r="AM631" s="178"/>
      <c r="AN631" s="178"/>
      <c r="AO631" s="178"/>
      <c r="AP631" s="178"/>
      <c r="AQ631" s="178"/>
      <c r="AR631" s="178"/>
      <c r="AS631" s="178"/>
    </row>
    <row r="632" spans="1:45" s="21" customFormat="1" x14ac:dyDescent="0.4">
      <c r="A632" s="27"/>
      <c r="B632" s="59"/>
      <c r="C632" s="645"/>
      <c r="D632" s="131" t="s">
        <v>44</v>
      </c>
      <c r="F632" s="178"/>
      <c r="G632" s="178"/>
      <c r="H632" s="127"/>
      <c r="I632" s="178"/>
      <c r="J632" s="178"/>
      <c r="K632" s="178"/>
      <c r="L632" s="178"/>
      <c r="M632" s="178"/>
      <c r="N632" s="178"/>
      <c r="O632" s="178"/>
      <c r="P632" s="178"/>
      <c r="Q632" s="178"/>
      <c r="R632" s="178"/>
      <c r="S632" s="178"/>
      <c r="T632" s="178"/>
      <c r="U632" s="178"/>
      <c r="V632" s="410"/>
      <c r="Z632" s="178"/>
      <c r="AA632" s="178"/>
      <c r="AB632" s="178"/>
      <c r="AC632" s="178"/>
      <c r="AD632" s="178"/>
      <c r="AE632" s="178"/>
      <c r="AF632" s="178"/>
      <c r="AG632" s="178"/>
      <c r="AH632" s="178"/>
      <c r="AI632" s="178"/>
      <c r="AJ632" s="178"/>
      <c r="AK632" s="178"/>
      <c r="AL632" s="178"/>
      <c r="AM632" s="178"/>
      <c r="AN632" s="178"/>
      <c r="AO632" s="178"/>
      <c r="AP632" s="178"/>
      <c r="AQ632" s="178"/>
      <c r="AR632" s="178"/>
      <c r="AS632" s="178"/>
    </row>
    <row r="633" spans="1:45" s="21" customFormat="1" x14ac:dyDescent="0.4">
      <c r="A633" s="27"/>
      <c r="B633" s="59"/>
      <c r="C633" s="645"/>
      <c r="D633" s="131" t="s">
        <v>44</v>
      </c>
      <c r="F633" s="178"/>
      <c r="G633" s="178"/>
      <c r="H633" s="127"/>
      <c r="I633" s="178"/>
      <c r="J633" s="178"/>
      <c r="K633" s="178"/>
      <c r="L633" s="178"/>
      <c r="M633" s="178"/>
      <c r="N633" s="178"/>
      <c r="O633" s="178"/>
      <c r="P633" s="178"/>
      <c r="Q633" s="178"/>
      <c r="R633" s="178"/>
      <c r="S633" s="178"/>
      <c r="T633" s="178"/>
      <c r="U633" s="178"/>
      <c r="V633" s="410"/>
      <c r="Z633" s="178"/>
      <c r="AA633" s="178"/>
      <c r="AB633" s="178"/>
      <c r="AC633" s="178"/>
      <c r="AD633" s="178"/>
      <c r="AE633" s="178"/>
      <c r="AF633" s="178"/>
      <c r="AG633" s="178"/>
      <c r="AH633" s="178"/>
      <c r="AI633" s="178"/>
      <c r="AJ633" s="178"/>
      <c r="AK633" s="178"/>
      <c r="AL633" s="178"/>
      <c r="AM633" s="178"/>
      <c r="AN633" s="178"/>
      <c r="AO633" s="178"/>
      <c r="AP633" s="178"/>
      <c r="AQ633" s="178"/>
      <c r="AR633" s="178"/>
      <c r="AS633" s="178"/>
    </row>
    <row r="634" spans="1:45" s="21" customFormat="1" x14ac:dyDescent="0.4">
      <c r="A634" s="27"/>
      <c r="B634" s="59"/>
      <c r="C634" s="645"/>
      <c r="D634" s="131" t="s">
        <v>44</v>
      </c>
      <c r="F634" s="178"/>
      <c r="G634" s="178"/>
      <c r="H634" s="127"/>
      <c r="I634" s="178"/>
      <c r="J634" s="178"/>
      <c r="K634" s="178"/>
      <c r="L634" s="178"/>
      <c r="M634" s="178"/>
      <c r="N634" s="178"/>
      <c r="O634" s="178"/>
      <c r="P634" s="178"/>
      <c r="Q634" s="178"/>
      <c r="R634" s="178"/>
      <c r="S634" s="178"/>
      <c r="T634" s="178"/>
      <c r="U634" s="178"/>
      <c r="V634" s="410"/>
      <c r="Z634" s="178"/>
      <c r="AA634" s="178"/>
      <c r="AB634" s="178"/>
      <c r="AC634" s="178"/>
      <c r="AD634" s="178"/>
      <c r="AE634" s="178"/>
      <c r="AF634" s="178"/>
      <c r="AG634" s="178"/>
      <c r="AH634" s="178"/>
      <c r="AI634" s="178"/>
      <c r="AJ634" s="178"/>
      <c r="AK634" s="178"/>
      <c r="AL634" s="178"/>
      <c r="AM634" s="178"/>
      <c r="AN634" s="178"/>
      <c r="AO634" s="178"/>
      <c r="AP634" s="178"/>
      <c r="AQ634" s="178"/>
      <c r="AR634" s="178"/>
      <c r="AS634" s="178"/>
    </row>
    <row r="635" spans="1:45" s="21" customFormat="1" x14ac:dyDescent="0.4">
      <c r="A635" s="27"/>
      <c r="B635" s="59"/>
      <c r="C635" s="645"/>
      <c r="D635" s="131" t="s">
        <v>44</v>
      </c>
      <c r="F635" s="178"/>
      <c r="G635" s="178"/>
      <c r="H635" s="127"/>
      <c r="I635" s="178"/>
      <c r="J635" s="178"/>
      <c r="K635" s="178"/>
      <c r="L635" s="178"/>
      <c r="M635" s="178"/>
      <c r="N635" s="178"/>
      <c r="O635" s="178"/>
      <c r="P635" s="178"/>
      <c r="Q635" s="178"/>
      <c r="R635" s="178"/>
      <c r="S635" s="178"/>
      <c r="T635" s="178"/>
      <c r="U635" s="178"/>
      <c r="V635" s="410"/>
      <c r="Z635" s="178"/>
      <c r="AA635" s="178"/>
      <c r="AB635" s="178"/>
      <c r="AC635" s="178"/>
      <c r="AD635" s="178"/>
      <c r="AE635" s="178"/>
      <c r="AF635" s="178"/>
      <c r="AG635" s="178"/>
      <c r="AH635" s="178"/>
      <c r="AI635" s="178"/>
      <c r="AJ635" s="178"/>
      <c r="AK635" s="178"/>
      <c r="AL635" s="178"/>
      <c r="AM635" s="178"/>
      <c r="AN635" s="178"/>
      <c r="AO635" s="178"/>
      <c r="AP635" s="178"/>
      <c r="AQ635" s="178"/>
      <c r="AR635" s="178"/>
      <c r="AS635" s="178"/>
    </row>
    <row r="636" spans="1:45" s="21" customFormat="1" x14ac:dyDescent="0.4">
      <c r="A636" s="27"/>
      <c r="B636" s="59"/>
      <c r="C636" s="645"/>
      <c r="D636" s="131" t="s">
        <v>44</v>
      </c>
      <c r="F636" s="178"/>
      <c r="G636" s="178"/>
      <c r="H636" s="127"/>
      <c r="I636" s="178"/>
      <c r="J636" s="178"/>
      <c r="K636" s="178"/>
      <c r="L636" s="178"/>
      <c r="M636" s="178"/>
      <c r="N636" s="178"/>
      <c r="O636" s="178"/>
      <c r="P636" s="178"/>
      <c r="Q636" s="178"/>
      <c r="R636" s="178"/>
      <c r="S636" s="178"/>
      <c r="T636" s="178"/>
      <c r="U636" s="178"/>
      <c r="V636" s="410"/>
      <c r="Z636" s="178"/>
      <c r="AA636" s="178"/>
      <c r="AB636" s="178"/>
      <c r="AC636" s="178"/>
      <c r="AD636" s="178"/>
      <c r="AE636" s="178"/>
      <c r="AF636" s="178"/>
      <c r="AG636" s="178"/>
      <c r="AH636" s="178"/>
      <c r="AI636" s="178"/>
      <c r="AJ636" s="178"/>
      <c r="AK636" s="178"/>
      <c r="AL636" s="178"/>
      <c r="AM636" s="178"/>
      <c r="AN636" s="178"/>
      <c r="AO636" s="178"/>
      <c r="AP636" s="178"/>
      <c r="AQ636" s="178"/>
      <c r="AR636" s="178"/>
      <c r="AS636" s="178"/>
    </row>
    <row r="637" spans="1:45" s="21" customFormat="1" x14ac:dyDescent="0.4">
      <c r="A637" s="27"/>
      <c r="B637" s="59"/>
      <c r="C637" s="645"/>
      <c r="D637" s="131" t="s">
        <v>44</v>
      </c>
      <c r="F637" s="178"/>
      <c r="G637" s="178"/>
      <c r="H637" s="127"/>
      <c r="I637" s="178"/>
      <c r="J637" s="178"/>
      <c r="K637" s="178"/>
      <c r="L637" s="178"/>
      <c r="M637" s="178"/>
      <c r="N637" s="178"/>
      <c r="O637" s="178"/>
      <c r="P637" s="178"/>
      <c r="Q637" s="178"/>
      <c r="R637" s="178"/>
      <c r="S637" s="178"/>
      <c r="T637" s="178"/>
      <c r="U637" s="178"/>
      <c r="V637" s="410"/>
      <c r="Z637" s="178"/>
      <c r="AA637" s="178"/>
      <c r="AB637" s="178"/>
      <c r="AC637" s="178"/>
      <c r="AD637" s="178"/>
      <c r="AE637" s="178"/>
      <c r="AF637" s="178"/>
      <c r="AG637" s="178"/>
      <c r="AH637" s="178"/>
      <c r="AI637" s="178"/>
      <c r="AJ637" s="178"/>
      <c r="AK637" s="178"/>
      <c r="AL637" s="178"/>
      <c r="AM637" s="178"/>
      <c r="AN637" s="178"/>
      <c r="AO637" s="178"/>
      <c r="AP637" s="178"/>
      <c r="AQ637" s="178"/>
      <c r="AR637" s="178"/>
      <c r="AS637" s="178"/>
    </row>
    <row r="638" spans="1:45" s="21" customFormat="1" ht="15" customHeight="1" x14ac:dyDescent="0.4">
      <c r="A638" s="27"/>
      <c r="B638" s="645"/>
      <c r="C638" s="645"/>
      <c r="D638" s="131" t="s">
        <v>44</v>
      </c>
      <c r="F638" s="178"/>
      <c r="G638" s="178"/>
      <c r="H638" s="127"/>
      <c r="I638" s="178"/>
      <c r="J638" s="178"/>
      <c r="K638" s="178"/>
      <c r="L638" s="178"/>
      <c r="M638" s="178"/>
      <c r="N638" s="178"/>
      <c r="O638" s="178"/>
      <c r="P638" s="178"/>
      <c r="Q638" s="178"/>
      <c r="R638" s="178"/>
      <c r="S638" s="178"/>
      <c r="T638" s="178"/>
      <c r="U638" s="178"/>
      <c r="V638" s="410"/>
      <c r="Z638" s="178"/>
      <c r="AA638" s="178"/>
      <c r="AB638" s="178"/>
      <c r="AC638" s="178"/>
      <c r="AD638" s="178"/>
      <c r="AE638" s="178"/>
      <c r="AF638" s="178"/>
      <c r="AG638" s="178"/>
      <c r="AH638" s="178"/>
      <c r="AI638" s="178"/>
      <c r="AJ638" s="178"/>
      <c r="AK638" s="178"/>
      <c r="AL638" s="178"/>
      <c r="AM638" s="178"/>
      <c r="AN638" s="178"/>
      <c r="AO638" s="178"/>
      <c r="AP638" s="178"/>
      <c r="AQ638" s="178"/>
      <c r="AR638" s="178"/>
      <c r="AS638" s="178"/>
    </row>
    <row r="639" spans="1:45" s="21" customFormat="1" ht="15" customHeight="1" x14ac:dyDescent="0.4">
      <c r="A639" s="27"/>
      <c r="B639" s="645"/>
      <c r="C639" s="645"/>
      <c r="D639" s="131" t="s">
        <v>44</v>
      </c>
      <c r="F639" s="178"/>
      <c r="G639" s="178"/>
      <c r="H639" s="127"/>
      <c r="I639" s="178"/>
      <c r="J639" s="178"/>
      <c r="K639" s="178"/>
      <c r="L639" s="178"/>
      <c r="M639" s="178"/>
      <c r="N639" s="178"/>
      <c r="O639" s="178"/>
      <c r="P639" s="178"/>
      <c r="Q639" s="178"/>
      <c r="R639" s="178"/>
      <c r="S639" s="178"/>
      <c r="T639" s="178"/>
      <c r="U639" s="178"/>
      <c r="V639" s="410"/>
      <c r="Z639" s="178"/>
      <c r="AA639" s="178"/>
      <c r="AB639" s="178"/>
      <c r="AC639" s="178"/>
      <c r="AD639" s="178"/>
      <c r="AE639" s="178"/>
      <c r="AF639" s="178"/>
      <c r="AG639" s="178"/>
      <c r="AH639" s="178"/>
      <c r="AI639" s="178"/>
      <c r="AJ639" s="178"/>
      <c r="AK639" s="178"/>
      <c r="AL639" s="178"/>
      <c r="AM639" s="178"/>
      <c r="AN639" s="178"/>
      <c r="AO639" s="178"/>
      <c r="AP639" s="178"/>
      <c r="AQ639" s="178"/>
      <c r="AR639" s="178"/>
      <c r="AS639" s="178"/>
    </row>
    <row r="640" spans="1:45" s="21" customFormat="1" ht="15" customHeight="1" x14ac:dyDescent="0.4">
      <c r="A640" s="27"/>
      <c r="B640" s="645"/>
      <c r="C640" s="645"/>
      <c r="D640" s="131" t="s">
        <v>44</v>
      </c>
      <c r="F640" s="178"/>
      <c r="G640" s="178"/>
      <c r="H640" s="127"/>
      <c r="I640" s="178"/>
      <c r="J640" s="178"/>
      <c r="K640" s="178"/>
      <c r="L640" s="178"/>
      <c r="M640" s="178"/>
      <c r="N640" s="178"/>
      <c r="O640" s="178"/>
      <c r="P640" s="178"/>
      <c r="Q640" s="178"/>
      <c r="R640" s="178"/>
      <c r="S640" s="178"/>
      <c r="T640" s="178"/>
      <c r="U640" s="178"/>
      <c r="V640" s="410"/>
      <c r="Z640" s="178"/>
      <c r="AA640" s="178"/>
      <c r="AB640" s="178"/>
      <c r="AC640" s="178"/>
      <c r="AD640" s="178"/>
      <c r="AE640" s="178"/>
      <c r="AF640" s="178"/>
      <c r="AG640" s="178"/>
      <c r="AH640" s="178"/>
      <c r="AI640" s="178"/>
      <c r="AJ640" s="178"/>
      <c r="AK640" s="178"/>
      <c r="AL640" s="178"/>
      <c r="AM640" s="178"/>
      <c r="AN640" s="178"/>
      <c r="AO640" s="178"/>
      <c r="AP640" s="178"/>
      <c r="AQ640" s="178"/>
      <c r="AR640" s="178"/>
      <c r="AS640" s="178"/>
    </row>
    <row r="641" spans="1:45" s="21" customFormat="1" x14ac:dyDescent="0.4">
      <c r="A641" s="27"/>
      <c r="B641" s="645"/>
      <c r="C641" s="645"/>
      <c r="D641" s="131" t="s">
        <v>44</v>
      </c>
      <c r="F641" s="178"/>
      <c r="G641" s="178"/>
      <c r="H641" s="127"/>
      <c r="I641" s="178"/>
      <c r="J641" s="178"/>
      <c r="K641" s="178"/>
      <c r="L641" s="178"/>
      <c r="M641" s="178"/>
      <c r="N641" s="178"/>
      <c r="O641" s="178"/>
      <c r="P641" s="178"/>
      <c r="Q641" s="178"/>
      <c r="R641" s="178"/>
      <c r="S641" s="178"/>
      <c r="T641" s="178"/>
      <c r="U641" s="178"/>
      <c r="V641" s="410"/>
      <c r="Z641" s="178"/>
      <c r="AA641" s="178"/>
      <c r="AB641" s="178"/>
      <c r="AC641" s="178"/>
      <c r="AD641" s="178"/>
      <c r="AE641" s="178"/>
      <c r="AF641" s="178"/>
      <c r="AG641" s="178"/>
      <c r="AH641" s="178"/>
      <c r="AI641" s="178"/>
      <c r="AJ641" s="178"/>
      <c r="AK641" s="178"/>
      <c r="AL641" s="178"/>
      <c r="AM641" s="178"/>
      <c r="AN641" s="178"/>
      <c r="AO641" s="178"/>
      <c r="AP641" s="178"/>
      <c r="AQ641" s="178"/>
      <c r="AR641" s="178"/>
      <c r="AS641" s="178"/>
    </row>
    <row r="642" spans="1:45" s="21" customFormat="1" x14ac:dyDescent="0.4">
      <c r="A642" s="27"/>
      <c r="B642" s="645"/>
      <c r="C642" s="645"/>
      <c r="D642" s="131" t="s">
        <v>44</v>
      </c>
      <c r="F642" s="178"/>
      <c r="G642" s="178"/>
      <c r="H642" s="127"/>
      <c r="I642" s="178"/>
      <c r="J642" s="178"/>
      <c r="K642" s="178"/>
      <c r="L642" s="178"/>
      <c r="M642" s="178"/>
      <c r="N642" s="178"/>
      <c r="O642" s="178"/>
      <c r="P642" s="178"/>
      <c r="Q642" s="178"/>
      <c r="R642" s="178"/>
      <c r="S642" s="178"/>
      <c r="T642" s="178"/>
      <c r="U642" s="178"/>
      <c r="V642" s="410"/>
      <c r="Z642" s="178"/>
      <c r="AA642" s="178"/>
      <c r="AB642" s="178"/>
      <c r="AC642" s="178"/>
      <c r="AD642" s="178"/>
      <c r="AE642" s="178"/>
      <c r="AF642" s="178"/>
      <c r="AG642" s="178"/>
      <c r="AH642" s="178"/>
      <c r="AI642" s="178"/>
      <c r="AJ642" s="178"/>
      <c r="AK642" s="178"/>
      <c r="AL642" s="178"/>
      <c r="AM642" s="178"/>
      <c r="AN642" s="178"/>
      <c r="AO642" s="178"/>
      <c r="AP642" s="178"/>
      <c r="AQ642" s="178"/>
      <c r="AR642" s="178"/>
      <c r="AS642" s="178"/>
    </row>
    <row r="643" spans="1:45" s="21" customFormat="1" x14ac:dyDescent="0.4">
      <c r="A643" s="27"/>
      <c r="B643" s="645"/>
      <c r="C643" s="645"/>
      <c r="D643" s="131" t="s">
        <v>44</v>
      </c>
      <c r="F643" s="178"/>
      <c r="G643" s="178"/>
      <c r="H643" s="127"/>
      <c r="I643" s="178"/>
      <c r="J643" s="178"/>
      <c r="K643" s="178"/>
      <c r="L643" s="178"/>
      <c r="M643" s="178"/>
      <c r="N643" s="178"/>
      <c r="O643" s="178"/>
      <c r="P643" s="178"/>
      <c r="Q643" s="178"/>
      <c r="R643" s="178"/>
      <c r="S643" s="178"/>
      <c r="T643" s="178"/>
      <c r="U643" s="178"/>
      <c r="V643" s="410"/>
      <c r="Z643" s="178"/>
      <c r="AA643" s="178"/>
      <c r="AB643" s="178"/>
      <c r="AC643" s="178"/>
      <c r="AD643" s="178"/>
      <c r="AE643" s="178"/>
      <c r="AF643" s="178"/>
      <c r="AG643" s="178"/>
      <c r="AH643" s="178"/>
      <c r="AI643" s="178"/>
      <c r="AJ643" s="178"/>
      <c r="AK643" s="178"/>
      <c r="AL643" s="178"/>
      <c r="AM643" s="178"/>
      <c r="AN643" s="178"/>
      <c r="AO643" s="178"/>
      <c r="AP643" s="178"/>
      <c r="AQ643" s="178"/>
      <c r="AR643" s="178"/>
      <c r="AS643" s="178"/>
    </row>
    <row r="644" spans="1:45" s="21" customFormat="1" x14ac:dyDescent="0.4">
      <c r="A644" s="27"/>
      <c r="B644" s="645"/>
      <c r="C644" s="645"/>
      <c r="D644" s="131" t="s">
        <v>44</v>
      </c>
      <c r="F644" s="178"/>
      <c r="G644" s="178"/>
      <c r="H644" s="127"/>
      <c r="I644" s="178"/>
      <c r="J644" s="178"/>
      <c r="K644" s="178"/>
      <c r="L644" s="178"/>
      <c r="M644" s="178"/>
      <c r="N644" s="178"/>
      <c r="O644" s="178"/>
      <c r="P644" s="178"/>
      <c r="Q644" s="178"/>
      <c r="R644" s="178"/>
      <c r="S644" s="178"/>
      <c r="T644" s="178"/>
      <c r="U644" s="178"/>
      <c r="V644" s="410"/>
      <c r="Z644" s="178"/>
      <c r="AA644" s="178"/>
      <c r="AB644" s="178"/>
      <c r="AC644" s="178"/>
      <c r="AD644" s="178"/>
      <c r="AE644" s="178"/>
      <c r="AF644" s="178"/>
      <c r="AG644" s="178"/>
      <c r="AH644" s="178"/>
      <c r="AI644" s="178"/>
      <c r="AJ644" s="178"/>
      <c r="AK644" s="178"/>
      <c r="AL644" s="178"/>
      <c r="AM644" s="178"/>
      <c r="AN644" s="178"/>
      <c r="AO644" s="178"/>
      <c r="AP644" s="178"/>
      <c r="AQ644" s="178"/>
      <c r="AR644" s="178"/>
      <c r="AS644" s="178"/>
    </row>
    <row r="645" spans="1:45" s="21" customFormat="1" x14ac:dyDescent="0.4">
      <c r="A645" s="27"/>
      <c r="B645" s="645"/>
      <c r="C645" s="645"/>
      <c r="D645" s="131" t="s">
        <v>44</v>
      </c>
      <c r="F645" s="178"/>
      <c r="G645" s="178"/>
      <c r="H645" s="127"/>
      <c r="I645" s="178"/>
      <c r="J645" s="178"/>
      <c r="K645" s="178"/>
      <c r="L645" s="178"/>
      <c r="M645" s="178"/>
      <c r="N645" s="178"/>
      <c r="O645" s="178"/>
      <c r="P645" s="178"/>
      <c r="Q645" s="178"/>
      <c r="R645" s="178"/>
      <c r="S645" s="178"/>
      <c r="T645" s="178"/>
      <c r="U645" s="178"/>
      <c r="V645" s="410"/>
      <c r="Z645" s="178"/>
      <c r="AA645" s="178"/>
      <c r="AB645" s="178"/>
      <c r="AC645" s="178"/>
      <c r="AD645" s="178"/>
      <c r="AE645" s="178"/>
      <c r="AF645" s="178"/>
      <c r="AG645" s="178"/>
      <c r="AH645" s="178"/>
      <c r="AI645" s="178"/>
      <c r="AJ645" s="178"/>
      <c r="AK645" s="178"/>
      <c r="AL645" s="178"/>
      <c r="AM645" s="178"/>
      <c r="AN645" s="178"/>
      <c r="AO645" s="178"/>
      <c r="AP645" s="178"/>
      <c r="AQ645" s="178"/>
      <c r="AR645" s="178"/>
      <c r="AS645" s="178"/>
    </row>
    <row r="646" spans="1:45" s="21" customFormat="1" x14ac:dyDescent="0.4">
      <c r="A646" s="27"/>
      <c r="B646" s="645"/>
      <c r="C646" s="645"/>
      <c r="D646" s="131" t="s">
        <v>44</v>
      </c>
      <c r="F646" s="178"/>
      <c r="G646" s="178"/>
      <c r="H646" s="127"/>
      <c r="I646" s="178"/>
      <c r="J646" s="178"/>
      <c r="K646" s="178"/>
      <c r="L646" s="178"/>
      <c r="M646" s="178"/>
      <c r="N646" s="178"/>
      <c r="O646" s="178"/>
      <c r="P646" s="178"/>
      <c r="Q646" s="178"/>
      <c r="R646" s="178"/>
      <c r="S646" s="178"/>
      <c r="T646" s="178"/>
      <c r="U646" s="178"/>
      <c r="V646" s="410"/>
      <c r="Z646" s="178"/>
      <c r="AA646" s="178"/>
      <c r="AB646" s="178"/>
      <c r="AC646" s="178"/>
      <c r="AD646" s="178"/>
      <c r="AE646" s="178"/>
      <c r="AF646" s="178"/>
      <c r="AG646" s="178"/>
      <c r="AH646" s="178"/>
      <c r="AI646" s="178"/>
      <c r="AJ646" s="178"/>
      <c r="AK646" s="178"/>
      <c r="AL646" s="178"/>
      <c r="AM646" s="178"/>
      <c r="AN646" s="178"/>
      <c r="AO646" s="178"/>
      <c r="AP646" s="178"/>
      <c r="AQ646" s="178"/>
      <c r="AR646" s="178"/>
      <c r="AS646" s="178"/>
    </row>
    <row r="647" spans="1:45" s="21" customFormat="1" x14ac:dyDescent="0.4">
      <c r="A647" s="27"/>
      <c r="B647" s="645"/>
      <c r="C647" s="645"/>
      <c r="D647" s="131" t="s">
        <v>44</v>
      </c>
      <c r="F647" s="178"/>
      <c r="G647" s="178"/>
      <c r="H647" s="127"/>
      <c r="I647" s="178"/>
      <c r="J647" s="178"/>
      <c r="K647" s="178"/>
      <c r="L647" s="178"/>
      <c r="M647" s="178"/>
      <c r="N647" s="178"/>
      <c r="O647" s="178"/>
      <c r="P647" s="178"/>
      <c r="Q647" s="178"/>
      <c r="R647" s="178"/>
      <c r="S647" s="178"/>
      <c r="T647" s="178"/>
      <c r="U647" s="178"/>
      <c r="V647" s="410"/>
      <c r="Z647" s="178"/>
      <c r="AA647" s="178"/>
      <c r="AB647" s="178"/>
      <c r="AC647" s="178"/>
      <c r="AD647" s="178"/>
      <c r="AE647" s="178"/>
      <c r="AF647" s="178"/>
      <c r="AG647" s="178"/>
      <c r="AH647" s="178"/>
      <c r="AI647" s="178"/>
      <c r="AJ647" s="178"/>
      <c r="AK647" s="178"/>
      <c r="AL647" s="178"/>
      <c r="AM647" s="178"/>
      <c r="AN647" s="178"/>
      <c r="AO647" s="178"/>
      <c r="AP647" s="178"/>
      <c r="AQ647" s="178"/>
      <c r="AR647" s="178"/>
      <c r="AS647" s="178"/>
    </row>
    <row r="648" spans="1:45" s="21" customFormat="1" x14ac:dyDescent="0.4">
      <c r="A648" s="27"/>
      <c r="B648" s="645"/>
      <c r="C648" s="645"/>
      <c r="D648" s="131" t="s">
        <v>44</v>
      </c>
      <c r="F648" s="178"/>
      <c r="G648" s="178"/>
      <c r="H648" s="127"/>
      <c r="I648" s="178"/>
      <c r="J648" s="178"/>
      <c r="K648" s="178"/>
      <c r="L648" s="178"/>
      <c r="M648" s="178"/>
      <c r="N648" s="178"/>
      <c r="O648" s="178"/>
      <c r="P648" s="178"/>
      <c r="Q648" s="178"/>
      <c r="R648" s="178"/>
      <c r="S648" s="178"/>
      <c r="T648" s="178"/>
      <c r="U648" s="178"/>
      <c r="V648" s="410"/>
      <c r="Z648" s="178"/>
      <c r="AA648" s="178"/>
      <c r="AB648" s="178"/>
      <c r="AC648" s="178"/>
      <c r="AD648" s="178"/>
      <c r="AE648" s="178"/>
      <c r="AF648" s="178"/>
      <c r="AG648" s="178"/>
      <c r="AH648" s="178"/>
      <c r="AI648" s="178"/>
      <c r="AJ648" s="178"/>
      <c r="AK648" s="178"/>
      <c r="AL648" s="178"/>
      <c r="AM648" s="178"/>
      <c r="AN648" s="178"/>
      <c r="AO648" s="178"/>
      <c r="AP648" s="178"/>
      <c r="AQ648" s="178"/>
      <c r="AR648" s="178"/>
      <c r="AS648" s="178"/>
    </row>
    <row r="649" spans="1:45" s="21" customFormat="1" x14ac:dyDescent="0.4">
      <c r="A649" s="27"/>
      <c r="B649" s="645"/>
      <c r="C649" s="645"/>
      <c r="D649" s="131" t="s">
        <v>44</v>
      </c>
      <c r="F649" s="178"/>
      <c r="G649" s="178"/>
      <c r="H649" s="127"/>
      <c r="I649" s="178"/>
      <c r="J649" s="178"/>
      <c r="K649" s="178"/>
      <c r="L649" s="178"/>
      <c r="M649" s="178"/>
      <c r="N649" s="178"/>
      <c r="O649" s="178"/>
      <c r="P649" s="178"/>
      <c r="Q649" s="178"/>
      <c r="R649" s="178"/>
      <c r="S649" s="178"/>
      <c r="T649" s="178"/>
      <c r="U649" s="178"/>
      <c r="V649" s="410"/>
      <c r="Z649" s="178"/>
      <c r="AA649" s="178"/>
      <c r="AB649" s="178"/>
      <c r="AC649" s="178"/>
      <c r="AD649" s="178"/>
      <c r="AE649" s="178"/>
      <c r="AF649" s="178"/>
      <c r="AG649" s="178"/>
      <c r="AH649" s="178"/>
      <c r="AI649" s="178"/>
      <c r="AJ649" s="178"/>
      <c r="AK649" s="178"/>
      <c r="AL649" s="178"/>
      <c r="AM649" s="178"/>
      <c r="AN649" s="178"/>
      <c r="AO649" s="178"/>
      <c r="AP649" s="178"/>
      <c r="AQ649" s="178"/>
      <c r="AR649" s="178"/>
      <c r="AS649" s="178"/>
    </row>
    <row r="650" spans="1:45" s="21" customFormat="1" x14ac:dyDescent="0.4">
      <c r="A650" s="27"/>
      <c r="B650" s="645"/>
      <c r="C650" s="645"/>
      <c r="D650" s="131" t="s">
        <v>44</v>
      </c>
      <c r="F650" s="178"/>
      <c r="G650" s="178"/>
      <c r="H650" s="127"/>
      <c r="I650" s="178"/>
      <c r="J650" s="178"/>
      <c r="K650" s="178"/>
      <c r="L650" s="178"/>
      <c r="M650" s="178"/>
      <c r="N650" s="178"/>
      <c r="O650" s="178"/>
      <c r="P650" s="178"/>
      <c r="Q650" s="178"/>
      <c r="R650" s="178"/>
      <c r="S650" s="178"/>
      <c r="T650" s="178"/>
      <c r="U650" s="178"/>
      <c r="V650" s="410"/>
      <c r="Z650" s="178"/>
      <c r="AA650" s="178"/>
      <c r="AB650" s="178"/>
      <c r="AC650" s="178"/>
      <c r="AD650" s="178"/>
      <c r="AE650" s="178"/>
      <c r="AF650" s="178"/>
      <c r="AG650" s="178"/>
      <c r="AH650" s="178"/>
      <c r="AI650" s="178"/>
      <c r="AJ650" s="178"/>
      <c r="AK650" s="178"/>
      <c r="AL650" s="178"/>
      <c r="AM650" s="178"/>
      <c r="AN650" s="178"/>
      <c r="AO650" s="178"/>
      <c r="AP650" s="178"/>
      <c r="AQ650" s="178"/>
      <c r="AR650" s="178"/>
      <c r="AS650" s="178"/>
    </row>
    <row r="651" spans="1:45" s="21" customFormat="1" ht="18" customHeight="1" x14ac:dyDescent="0.4">
      <c r="A651" s="27"/>
      <c r="B651" s="645"/>
      <c r="C651" s="645"/>
      <c r="D651" s="131" t="s">
        <v>44</v>
      </c>
      <c r="F651" s="178"/>
      <c r="G651" s="178"/>
      <c r="H651" s="127"/>
      <c r="I651" s="178"/>
      <c r="J651" s="178"/>
      <c r="K651" s="178"/>
      <c r="L651" s="178"/>
      <c r="M651" s="178"/>
      <c r="N651" s="178"/>
      <c r="O651" s="178"/>
      <c r="P651" s="178"/>
      <c r="Q651" s="178"/>
      <c r="R651" s="178"/>
      <c r="S651" s="178"/>
      <c r="T651" s="178"/>
      <c r="U651" s="178"/>
      <c r="V651" s="410"/>
      <c r="Z651" s="178"/>
      <c r="AA651" s="178"/>
      <c r="AB651" s="178"/>
      <c r="AC651" s="178"/>
      <c r="AD651" s="178"/>
      <c r="AE651" s="178"/>
      <c r="AF651" s="178"/>
      <c r="AG651" s="178"/>
      <c r="AH651" s="178"/>
      <c r="AI651" s="178"/>
      <c r="AJ651" s="178"/>
      <c r="AK651" s="178"/>
      <c r="AL651" s="178"/>
      <c r="AM651" s="178"/>
      <c r="AN651" s="178"/>
      <c r="AO651" s="178"/>
      <c r="AP651" s="178"/>
      <c r="AQ651" s="178"/>
      <c r="AR651" s="178"/>
      <c r="AS651" s="178"/>
    </row>
    <row r="652" spans="1:45" s="21" customFormat="1" ht="18" customHeight="1" x14ac:dyDescent="0.4">
      <c r="A652" s="27"/>
      <c r="B652" s="645"/>
      <c r="C652" s="645"/>
      <c r="D652" s="131"/>
      <c r="F652" s="178"/>
      <c r="G652" s="178"/>
      <c r="H652" s="127"/>
      <c r="I652" s="178"/>
      <c r="J652" s="178"/>
      <c r="K652" s="178"/>
      <c r="L652" s="178"/>
      <c r="M652" s="178"/>
      <c r="N652" s="178"/>
      <c r="O652" s="178"/>
      <c r="P652" s="178"/>
      <c r="Q652" s="178"/>
      <c r="R652" s="178"/>
      <c r="S652" s="178"/>
      <c r="T652" s="178"/>
      <c r="U652" s="178"/>
      <c r="V652" s="410"/>
      <c r="Z652" s="178"/>
      <c r="AA652" s="178"/>
      <c r="AB652" s="178"/>
      <c r="AC652" s="178"/>
      <c r="AD652" s="178"/>
      <c r="AE652" s="178"/>
      <c r="AF652" s="178"/>
      <c r="AG652" s="178"/>
      <c r="AH652" s="178"/>
      <c r="AI652" s="178"/>
      <c r="AJ652" s="178"/>
      <c r="AK652" s="178"/>
      <c r="AL652" s="178"/>
      <c r="AM652" s="178"/>
      <c r="AN652" s="178"/>
      <c r="AO652" s="178"/>
      <c r="AP652" s="178"/>
      <c r="AQ652" s="178"/>
      <c r="AR652" s="178"/>
      <c r="AS652" s="178"/>
    </row>
    <row r="653" spans="1:45" s="748" customFormat="1" ht="27" customHeight="1" x14ac:dyDescent="0.4">
      <c r="A653" s="747"/>
      <c r="B653" s="747"/>
      <c r="C653" s="747"/>
      <c r="E653" s="748" t="str">
        <f>UPPER('Talnagögn | Numerical Data'!$E$5)</f>
        <v>SÖGULEG LOSUN</v>
      </c>
      <c r="F653" s="749"/>
      <c r="G653" s="749"/>
      <c r="H653" s="749"/>
      <c r="I653" s="749"/>
      <c r="J653" s="749"/>
      <c r="K653" s="749"/>
      <c r="L653" s="749"/>
      <c r="M653" s="749"/>
      <c r="N653" s="749"/>
      <c r="O653" s="749"/>
      <c r="P653" s="749"/>
      <c r="Q653" s="749"/>
      <c r="R653" s="749"/>
      <c r="S653" s="749"/>
      <c r="T653" s="749"/>
      <c r="U653" s="749"/>
      <c r="V653" s="750"/>
      <c r="Y653" s="748" t="str">
        <f>UPPER('Talnagögn | Numerical Data'!$G$5)</f>
        <v>HISTORICAL EMISSIONS</v>
      </c>
      <c r="Z653" s="749"/>
      <c r="AA653" s="749"/>
      <c r="AB653" s="749"/>
      <c r="AC653" s="749"/>
      <c r="AD653" s="749"/>
      <c r="AE653" s="749"/>
      <c r="AF653" s="749"/>
      <c r="AG653" s="749"/>
      <c r="AH653" s="749"/>
      <c r="AI653" s="749"/>
      <c r="AJ653" s="749"/>
      <c r="AK653" s="749"/>
      <c r="AL653" s="749"/>
      <c r="AM653" s="749"/>
      <c r="AN653" s="749"/>
      <c r="AO653" s="749"/>
      <c r="AP653" s="749"/>
      <c r="AQ653" s="749"/>
      <c r="AR653" s="749"/>
      <c r="AS653" s="749"/>
    </row>
    <row r="654" spans="1:45" s="21" customFormat="1" x14ac:dyDescent="0.4">
      <c r="A654" s="27"/>
      <c r="B654" s="645"/>
      <c r="C654" s="645"/>
      <c r="D654" s="131" t="s">
        <v>44</v>
      </c>
      <c r="F654" s="178"/>
      <c r="G654" s="178"/>
      <c r="H654" s="127"/>
      <c r="I654" s="178"/>
      <c r="J654" s="178"/>
      <c r="K654" s="178"/>
      <c r="L654" s="178"/>
      <c r="M654" s="178"/>
      <c r="N654" s="178"/>
      <c r="O654" s="178"/>
      <c r="P654" s="178"/>
      <c r="Q654" s="178"/>
      <c r="R654" s="178"/>
      <c r="S654" s="178"/>
      <c r="T654" s="178"/>
      <c r="U654" s="178"/>
      <c r="V654" s="410"/>
      <c r="Z654" s="178"/>
      <c r="AA654" s="178"/>
      <c r="AB654" s="178"/>
      <c r="AC654" s="178"/>
      <c r="AD654" s="178"/>
      <c r="AE654" s="178"/>
      <c r="AF654" s="178"/>
      <c r="AG654" s="178"/>
      <c r="AH654" s="178"/>
      <c r="AI654" s="178"/>
      <c r="AJ654" s="178"/>
      <c r="AK654" s="178"/>
      <c r="AL654" s="178"/>
      <c r="AM654" s="178"/>
      <c r="AN654" s="178"/>
      <c r="AO654" s="178"/>
      <c r="AP654" s="178"/>
      <c r="AQ654" s="178"/>
      <c r="AR654" s="178"/>
      <c r="AS654" s="178"/>
    </row>
    <row r="655" spans="1:45" s="21" customFormat="1" x14ac:dyDescent="0.4">
      <c r="A655" s="27"/>
      <c r="B655" s="645"/>
      <c r="C655" s="645"/>
      <c r="D655" s="131" t="s">
        <v>44</v>
      </c>
      <c r="F655" s="178"/>
      <c r="G655" s="178"/>
      <c r="H655" s="127"/>
      <c r="I655" s="178"/>
      <c r="J655" s="178"/>
      <c r="K655" s="178"/>
      <c r="L655" s="178"/>
      <c r="M655" s="178"/>
      <c r="N655" s="178"/>
      <c r="O655" s="178"/>
      <c r="P655" s="178"/>
      <c r="Q655" s="178"/>
      <c r="R655" s="178"/>
      <c r="S655" s="178"/>
      <c r="T655" s="178"/>
      <c r="U655" s="178"/>
      <c r="V655" s="410"/>
      <c r="Z655" s="178"/>
      <c r="AA655" s="178"/>
      <c r="AB655" s="178"/>
      <c r="AC655" s="178"/>
      <c r="AD655" s="178"/>
      <c r="AE655" s="178"/>
      <c r="AF655" s="178"/>
      <c r="AG655" s="178"/>
      <c r="AH655" s="178"/>
      <c r="AI655" s="178"/>
      <c r="AJ655" s="178"/>
      <c r="AK655" s="178"/>
      <c r="AL655" s="178"/>
      <c r="AM655" s="178"/>
      <c r="AN655" s="178"/>
      <c r="AO655" s="178"/>
      <c r="AP655" s="178"/>
      <c r="AQ655" s="178"/>
      <c r="AR655" s="178"/>
      <c r="AS655" s="178"/>
    </row>
    <row r="656" spans="1:45" s="21" customFormat="1" x14ac:dyDescent="0.4">
      <c r="A656" s="27"/>
      <c r="B656" s="645"/>
      <c r="C656" s="645"/>
      <c r="D656" s="131" t="s">
        <v>44</v>
      </c>
      <c r="F656" s="178"/>
      <c r="G656" s="178"/>
      <c r="H656" s="127"/>
      <c r="I656" s="178"/>
      <c r="J656" s="178"/>
      <c r="K656" s="178"/>
      <c r="L656" s="178"/>
      <c r="M656" s="178"/>
      <c r="N656" s="178"/>
      <c r="O656" s="178"/>
      <c r="P656" s="178"/>
      <c r="Q656" s="178"/>
      <c r="R656" s="178"/>
      <c r="S656" s="178"/>
      <c r="T656" s="178"/>
      <c r="U656" s="178"/>
      <c r="V656" s="410"/>
      <c r="Z656" s="178"/>
      <c r="AA656" s="178"/>
      <c r="AB656" s="178"/>
      <c r="AC656" s="178"/>
      <c r="AD656" s="178"/>
      <c r="AE656" s="178"/>
      <c r="AF656" s="178"/>
      <c r="AG656" s="178"/>
      <c r="AH656" s="178"/>
      <c r="AI656" s="178"/>
      <c r="AJ656" s="178"/>
      <c r="AK656" s="178"/>
      <c r="AL656" s="178"/>
      <c r="AM656" s="178"/>
      <c r="AN656" s="178"/>
      <c r="AO656" s="178"/>
      <c r="AP656" s="178"/>
      <c r="AQ656" s="178"/>
      <c r="AR656" s="178"/>
      <c r="AS656" s="178"/>
    </row>
    <row r="657" spans="1:45" s="21" customFormat="1" x14ac:dyDescent="0.4">
      <c r="A657" s="27"/>
      <c r="B657" s="645"/>
      <c r="C657" s="645"/>
      <c r="D657" s="131" t="s">
        <v>44</v>
      </c>
      <c r="F657" s="178"/>
      <c r="G657" s="178"/>
      <c r="H657" s="127"/>
      <c r="I657" s="178"/>
      <c r="J657" s="178"/>
      <c r="K657" s="178"/>
      <c r="L657" s="178"/>
      <c r="M657" s="178"/>
      <c r="N657" s="178"/>
      <c r="O657" s="178"/>
      <c r="P657" s="178"/>
      <c r="Q657" s="178"/>
      <c r="R657" s="178"/>
      <c r="S657" s="178"/>
      <c r="T657" s="178"/>
      <c r="U657" s="178"/>
      <c r="V657" s="410"/>
      <c r="Z657" s="178"/>
      <c r="AA657" s="178"/>
      <c r="AB657" s="178"/>
      <c r="AC657" s="178"/>
      <c r="AD657" s="178"/>
      <c r="AE657" s="178"/>
      <c r="AF657" s="178"/>
      <c r="AG657" s="178"/>
      <c r="AH657" s="178"/>
      <c r="AI657" s="178"/>
      <c r="AJ657" s="178"/>
      <c r="AK657" s="178"/>
      <c r="AL657" s="178"/>
      <c r="AM657" s="178"/>
      <c r="AN657" s="178"/>
      <c r="AO657" s="178"/>
      <c r="AP657" s="178"/>
      <c r="AQ657" s="178"/>
      <c r="AR657" s="178"/>
      <c r="AS657" s="178"/>
    </row>
    <row r="658" spans="1:45" s="21" customFormat="1" x14ac:dyDescent="0.4">
      <c r="A658" s="27"/>
      <c r="B658" s="645"/>
      <c r="C658" s="645"/>
      <c r="D658" s="131" t="s">
        <v>44</v>
      </c>
      <c r="F658" s="178"/>
      <c r="G658" s="178"/>
      <c r="H658" s="127"/>
      <c r="I658" s="178"/>
      <c r="J658" s="178"/>
      <c r="K658" s="178"/>
      <c r="L658" s="178"/>
      <c r="M658" s="178"/>
      <c r="N658" s="178"/>
      <c r="O658" s="178"/>
      <c r="P658" s="178"/>
      <c r="Q658" s="178"/>
      <c r="R658" s="178"/>
      <c r="S658" s="178"/>
      <c r="T658" s="178"/>
      <c r="U658" s="178"/>
      <c r="V658" s="410"/>
      <c r="Z658" s="178"/>
      <c r="AA658" s="178"/>
      <c r="AB658" s="178"/>
      <c r="AC658" s="178"/>
      <c r="AD658" s="178"/>
      <c r="AE658" s="178"/>
      <c r="AF658" s="178"/>
      <c r="AG658" s="178"/>
      <c r="AH658" s="178"/>
      <c r="AI658" s="178"/>
      <c r="AJ658" s="178"/>
      <c r="AK658" s="178"/>
      <c r="AL658" s="178"/>
      <c r="AM658" s="178"/>
      <c r="AN658" s="178"/>
      <c r="AO658" s="178"/>
      <c r="AP658" s="178"/>
      <c r="AQ658" s="178"/>
      <c r="AR658" s="178"/>
      <c r="AS658" s="178"/>
    </row>
    <row r="659" spans="1:45" s="21" customFormat="1" x14ac:dyDescent="0.4">
      <c r="A659" s="27"/>
      <c r="B659" s="645"/>
      <c r="C659" s="645"/>
      <c r="D659" s="131" t="s">
        <v>44</v>
      </c>
      <c r="F659" s="178"/>
      <c r="G659" s="178"/>
      <c r="H659" s="127"/>
      <c r="I659" s="178"/>
      <c r="J659" s="178"/>
      <c r="K659" s="178"/>
      <c r="L659" s="178"/>
      <c r="M659" s="178"/>
      <c r="N659" s="178"/>
      <c r="O659" s="178"/>
      <c r="P659" s="178"/>
      <c r="Q659" s="178"/>
      <c r="R659" s="178"/>
      <c r="S659" s="178"/>
      <c r="T659" s="178"/>
      <c r="U659" s="178"/>
      <c r="V659" s="410"/>
      <c r="Z659" s="178"/>
      <c r="AA659" s="178"/>
      <c r="AB659" s="178"/>
      <c r="AC659" s="178"/>
      <c r="AD659" s="178"/>
      <c r="AE659" s="178"/>
      <c r="AF659" s="178"/>
      <c r="AG659" s="178"/>
      <c r="AH659" s="178"/>
      <c r="AI659" s="178"/>
      <c r="AJ659" s="178"/>
      <c r="AK659" s="178"/>
      <c r="AL659" s="178"/>
      <c r="AM659" s="178"/>
      <c r="AN659" s="178"/>
      <c r="AO659" s="178"/>
      <c r="AP659" s="178"/>
      <c r="AQ659" s="178"/>
      <c r="AR659" s="178"/>
      <c r="AS659" s="178"/>
    </row>
    <row r="660" spans="1:45" s="21" customFormat="1" x14ac:dyDescent="0.4">
      <c r="A660" s="27"/>
      <c r="B660" s="645"/>
      <c r="C660" s="645"/>
      <c r="D660" s="131" t="s">
        <v>44</v>
      </c>
      <c r="F660" s="178"/>
      <c r="G660" s="178"/>
      <c r="H660" s="127"/>
      <c r="I660" s="178"/>
      <c r="J660" s="178"/>
      <c r="K660" s="178"/>
      <c r="L660" s="178"/>
      <c r="M660" s="178"/>
      <c r="N660" s="178"/>
      <c r="O660" s="178"/>
      <c r="P660" s="178"/>
      <c r="Q660" s="178"/>
      <c r="R660" s="178"/>
      <c r="S660" s="178"/>
      <c r="T660" s="178"/>
      <c r="U660" s="178"/>
      <c r="V660" s="410"/>
      <c r="Z660" s="178"/>
      <c r="AA660" s="178"/>
      <c r="AB660" s="178"/>
      <c r="AC660" s="178"/>
      <c r="AD660" s="178"/>
      <c r="AE660" s="178"/>
      <c r="AF660" s="178"/>
      <c r="AG660" s="178"/>
      <c r="AH660" s="178"/>
      <c r="AI660" s="178"/>
      <c r="AJ660" s="178"/>
      <c r="AK660" s="178"/>
      <c r="AL660" s="178"/>
      <c r="AM660" s="178"/>
      <c r="AN660" s="178"/>
      <c r="AO660" s="178"/>
      <c r="AP660" s="178"/>
      <c r="AQ660" s="178"/>
      <c r="AR660" s="178"/>
      <c r="AS660" s="178"/>
    </row>
    <row r="661" spans="1:45" s="21" customFormat="1" ht="15" customHeight="1" x14ac:dyDescent="0.4">
      <c r="A661" s="27"/>
      <c r="B661" s="645"/>
      <c r="C661" s="645"/>
      <c r="D661" s="131" t="s">
        <v>44</v>
      </c>
      <c r="F661" s="178"/>
      <c r="G661" s="178"/>
      <c r="H661" s="127"/>
      <c r="I661" s="178"/>
      <c r="J661" s="178"/>
      <c r="K661" s="178"/>
      <c r="L661" s="178"/>
      <c r="M661" s="178"/>
      <c r="N661" s="178"/>
      <c r="O661" s="178"/>
      <c r="P661" s="178"/>
      <c r="Q661" s="178"/>
      <c r="R661" s="178"/>
      <c r="S661" s="178"/>
      <c r="T661" s="178"/>
      <c r="U661" s="178"/>
      <c r="V661" s="410"/>
      <c r="Z661" s="178"/>
      <c r="AA661" s="178"/>
      <c r="AB661" s="178"/>
      <c r="AC661" s="178"/>
      <c r="AD661" s="178"/>
      <c r="AE661" s="178"/>
      <c r="AF661" s="178"/>
      <c r="AG661" s="178"/>
      <c r="AH661" s="178"/>
      <c r="AI661" s="178"/>
      <c r="AJ661" s="178"/>
      <c r="AK661" s="178"/>
      <c r="AL661" s="178"/>
      <c r="AM661" s="178"/>
      <c r="AN661" s="178"/>
      <c r="AO661" s="178"/>
      <c r="AP661" s="178"/>
      <c r="AQ661" s="178"/>
      <c r="AR661" s="178"/>
      <c r="AS661" s="178"/>
    </row>
    <row r="662" spans="1:45" s="21" customFormat="1" ht="15" customHeight="1" x14ac:dyDescent="0.4">
      <c r="A662" s="27"/>
      <c r="B662" s="645"/>
      <c r="C662" s="645"/>
      <c r="D662" s="131" t="s">
        <v>44</v>
      </c>
      <c r="F662" s="178"/>
      <c r="G662" s="178"/>
      <c r="H662" s="127"/>
      <c r="I662" s="178"/>
      <c r="J662" s="178"/>
      <c r="K662" s="178"/>
      <c r="L662" s="178"/>
      <c r="M662" s="178"/>
      <c r="N662" s="178"/>
      <c r="O662" s="178"/>
      <c r="P662" s="178"/>
      <c r="Q662" s="178"/>
      <c r="R662" s="178"/>
      <c r="S662" s="178"/>
      <c r="T662" s="178"/>
      <c r="U662" s="178"/>
      <c r="V662" s="410"/>
      <c r="Z662" s="178"/>
      <c r="AA662" s="178"/>
      <c r="AB662" s="178"/>
      <c r="AC662" s="178"/>
      <c r="AD662" s="178"/>
      <c r="AE662" s="178"/>
      <c r="AF662" s="178"/>
      <c r="AG662" s="178"/>
      <c r="AH662" s="178"/>
      <c r="AI662" s="178"/>
      <c r="AJ662" s="178"/>
      <c r="AK662" s="178"/>
      <c r="AL662" s="178"/>
      <c r="AM662" s="178"/>
      <c r="AN662" s="178"/>
      <c r="AO662" s="178"/>
      <c r="AP662" s="178"/>
      <c r="AQ662" s="178"/>
      <c r="AR662" s="178"/>
      <c r="AS662" s="178"/>
    </row>
    <row r="663" spans="1:45" s="21" customFormat="1" ht="15" customHeight="1" x14ac:dyDescent="0.4">
      <c r="A663" s="27"/>
      <c r="B663" s="645"/>
      <c r="C663" s="645"/>
      <c r="D663" s="131" t="s">
        <v>44</v>
      </c>
      <c r="F663" s="178"/>
      <c r="G663" s="178"/>
      <c r="H663" s="127"/>
      <c r="I663" s="178"/>
      <c r="J663" s="178"/>
      <c r="K663" s="178"/>
      <c r="L663" s="178"/>
      <c r="M663" s="178"/>
      <c r="N663" s="178"/>
      <c r="O663" s="178"/>
      <c r="P663" s="178"/>
      <c r="Q663" s="178"/>
      <c r="R663" s="178"/>
      <c r="S663" s="178"/>
      <c r="T663" s="178"/>
      <c r="U663" s="178"/>
      <c r="V663" s="410"/>
      <c r="Z663" s="178"/>
      <c r="AA663" s="178"/>
      <c r="AB663" s="178"/>
      <c r="AC663" s="178"/>
      <c r="AD663" s="178"/>
      <c r="AE663" s="178"/>
      <c r="AF663" s="178"/>
      <c r="AG663" s="178"/>
      <c r="AH663" s="178"/>
      <c r="AI663" s="178"/>
      <c r="AJ663" s="178"/>
      <c r="AK663" s="178"/>
      <c r="AL663" s="178"/>
      <c r="AM663" s="178"/>
      <c r="AN663" s="178"/>
      <c r="AO663" s="178"/>
      <c r="AP663" s="178"/>
      <c r="AQ663" s="178"/>
      <c r="AR663" s="178"/>
      <c r="AS663" s="178"/>
    </row>
    <row r="664" spans="1:45" s="21" customFormat="1" x14ac:dyDescent="0.4">
      <c r="A664" s="27"/>
      <c r="B664" s="645"/>
      <c r="C664" s="645"/>
      <c r="D664" s="131" t="s">
        <v>44</v>
      </c>
      <c r="F664" s="178"/>
      <c r="G664" s="178"/>
      <c r="H664" s="127"/>
      <c r="I664" s="178"/>
      <c r="J664" s="178"/>
      <c r="K664" s="178"/>
      <c r="L664" s="178"/>
      <c r="M664" s="178"/>
      <c r="N664" s="178"/>
      <c r="O664" s="178"/>
      <c r="P664" s="178"/>
      <c r="Q664" s="178"/>
      <c r="R664" s="178"/>
      <c r="S664" s="178"/>
      <c r="T664" s="178"/>
      <c r="U664" s="178"/>
      <c r="V664" s="410"/>
      <c r="Z664" s="178"/>
      <c r="AA664" s="178"/>
      <c r="AB664" s="178"/>
      <c r="AC664" s="178"/>
      <c r="AD664" s="178"/>
      <c r="AE664" s="178"/>
      <c r="AF664" s="178"/>
      <c r="AG664" s="178"/>
      <c r="AH664" s="178"/>
      <c r="AI664" s="178"/>
      <c r="AJ664" s="178"/>
      <c r="AK664" s="178"/>
      <c r="AL664" s="178"/>
      <c r="AM664" s="178"/>
      <c r="AN664" s="178"/>
      <c r="AO664" s="178"/>
      <c r="AP664" s="178"/>
      <c r="AQ664" s="178"/>
      <c r="AR664" s="178"/>
      <c r="AS664" s="178"/>
    </row>
    <row r="665" spans="1:45" s="21" customFormat="1" x14ac:dyDescent="0.4">
      <c r="A665" s="27"/>
      <c r="B665" s="645"/>
      <c r="C665" s="645"/>
      <c r="D665" s="131" t="s">
        <v>44</v>
      </c>
      <c r="F665" s="178"/>
      <c r="G665" s="178"/>
      <c r="H665" s="127"/>
      <c r="I665" s="178"/>
      <c r="J665" s="178"/>
      <c r="K665" s="178"/>
      <c r="L665" s="178"/>
      <c r="M665" s="178"/>
      <c r="N665" s="178"/>
      <c r="O665" s="178"/>
      <c r="P665" s="178"/>
      <c r="Q665" s="178"/>
      <c r="R665" s="178"/>
      <c r="S665" s="178"/>
      <c r="T665" s="178"/>
      <c r="U665" s="178"/>
      <c r="V665" s="410"/>
      <c r="Z665" s="178"/>
      <c r="AA665" s="178"/>
      <c r="AB665" s="178"/>
      <c r="AC665" s="178"/>
      <c r="AD665" s="178"/>
      <c r="AE665" s="178"/>
      <c r="AF665" s="178"/>
      <c r="AG665" s="178"/>
      <c r="AH665" s="178"/>
      <c r="AI665" s="178"/>
      <c r="AJ665" s="178"/>
      <c r="AK665" s="178"/>
      <c r="AL665" s="178"/>
      <c r="AM665" s="178"/>
      <c r="AN665" s="178"/>
      <c r="AO665" s="178"/>
      <c r="AP665" s="178"/>
      <c r="AQ665" s="178"/>
      <c r="AR665" s="178"/>
      <c r="AS665" s="178"/>
    </row>
    <row r="666" spans="1:45" s="21" customFormat="1" x14ac:dyDescent="0.4">
      <c r="A666" s="27"/>
      <c r="B666" s="645"/>
      <c r="C666" s="645"/>
      <c r="D666" s="131" t="s">
        <v>44</v>
      </c>
      <c r="F666" s="178"/>
      <c r="G666" s="178"/>
      <c r="H666" s="127"/>
      <c r="I666" s="178"/>
      <c r="J666" s="178"/>
      <c r="K666" s="178"/>
      <c r="L666" s="178"/>
      <c r="M666" s="178"/>
      <c r="N666" s="178"/>
      <c r="O666" s="178"/>
      <c r="P666" s="178"/>
      <c r="Q666" s="178"/>
      <c r="R666" s="178"/>
      <c r="S666" s="178"/>
      <c r="T666" s="178"/>
      <c r="U666" s="178"/>
      <c r="V666" s="410"/>
      <c r="Z666" s="178"/>
      <c r="AA666" s="178"/>
      <c r="AB666" s="178"/>
      <c r="AC666" s="178"/>
      <c r="AD666" s="178"/>
      <c r="AE666" s="178"/>
      <c r="AF666" s="178"/>
      <c r="AG666" s="178"/>
      <c r="AH666" s="178"/>
      <c r="AI666" s="178"/>
      <c r="AJ666" s="178"/>
      <c r="AK666" s="178"/>
      <c r="AL666" s="178"/>
      <c r="AM666" s="178"/>
      <c r="AN666" s="178"/>
      <c r="AO666" s="178"/>
      <c r="AP666" s="178"/>
      <c r="AQ666" s="178"/>
      <c r="AR666" s="178"/>
      <c r="AS666" s="178"/>
    </row>
    <row r="667" spans="1:45" s="21" customFormat="1" x14ac:dyDescent="0.4">
      <c r="A667" s="27"/>
      <c r="B667" s="645"/>
      <c r="C667" s="645"/>
      <c r="D667" s="131" t="s">
        <v>44</v>
      </c>
      <c r="F667" s="178"/>
      <c r="G667" s="178"/>
      <c r="H667" s="127"/>
      <c r="I667" s="178"/>
      <c r="J667" s="178"/>
      <c r="K667" s="178"/>
      <c r="L667" s="178"/>
      <c r="M667" s="178"/>
      <c r="N667" s="178"/>
      <c r="O667" s="178"/>
      <c r="P667" s="178"/>
      <c r="Q667" s="178"/>
      <c r="R667" s="178"/>
      <c r="S667" s="178"/>
      <c r="T667" s="178"/>
      <c r="U667" s="178"/>
      <c r="V667" s="410"/>
      <c r="Z667" s="178"/>
      <c r="AA667" s="178"/>
      <c r="AB667" s="178"/>
      <c r="AC667" s="178"/>
      <c r="AD667" s="178"/>
      <c r="AE667" s="178"/>
      <c r="AF667" s="178"/>
      <c r="AG667" s="178"/>
      <c r="AH667" s="178"/>
      <c r="AI667" s="178"/>
      <c r="AJ667" s="178"/>
      <c r="AK667" s="178"/>
      <c r="AL667" s="178"/>
      <c r="AM667" s="178"/>
      <c r="AN667" s="178"/>
      <c r="AO667" s="178"/>
      <c r="AP667" s="178"/>
      <c r="AQ667" s="178"/>
      <c r="AR667" s="178"/>
      <c r="AS667" s="178"/>
    </row>
    <row r="668" spans="1:45" s="21" customFormat="1" x14ac:dyDescent="0.4">
      <c r="A668" s="27"/>
      <c r="B668" s="645"/>
      <c r="C668" s="645"/>
      <c r="D668" s="131" t="s">
        <v>44</v>
      </c>
      <c r="F668" s="178"/>
      <c r="G668" s="178"/>
      <c r="H668" s="127"/>
      <c r="I668" s="178"/>
      <c r="J668" s="178"/>
      <c r="K668" s="178"/>
      <c r="L668" s="178"/>
      <c r="M668" s="178"/>
      <c r="N668" s="178"/>
      <c r="O668" s="178"/>
      <c r="P668" s="178"/>
      <c r="Q668" s="178"/>
      <c r="R668" s="178"/>
      <c r="S668" s="178"/>
      <c r="T668" s="178"/>
      <c r="U668" s="178"/>
      <c r="V668" s="410"/>
      <c r="Z668" s="178"/>
      <c r="AA668" s="178"/>
      <c r="AB668" s="178"/>
      <c r="AC668" s="178"/>
      <c r="AD668" s="178"/>
      <c r="AE668" s="178"/>
      <c r="AF668" s="178"/>
      <c r="AG668" s="178"/>
      <c r="AH668" s="178"/>
      <c r="AI668" s="178"/>
      <c r="AJ668" s="178"/>
      <c r="AK668" s="178"/>
      <c r="AL668" s="178"/>
      <c r="AM668" s="178"/>
      <c r="AN668" s="178"/>
      <c r="AO668" s="178"/>
      <c r="AP668" s="178"/>
      <c r="AQ668" s="178"/>
      <c r="AR668" s="178"/>
      <c r="AS668" s="178"/>
    </row>
    <row r="669" spans="1:45" s="21" customFormat="1" x14ac:dyDescent="0.4">
      <c r="A669" s="27"/>
      <c r="B669" s="645"/>
      <c r="C669" s="645"/>
      <c r="D669" s="131" t="s">
        <v>44</v>
      </c>
      <c r="F669" s="178"/>
      <c r="G669" s="178"/>
      <c r="H669" s="127"/>
      <c r="I669" s="178"/>
      <c r="J669" s="178"/>
      <c r="K669" s="178"/>
      <c r="L669" s="178"/>
      <c r="M669" s="178"/>
      <c r="N669" s="178"/>
      <c r="O669" s="178"/>
      <c r="P669" s="178"/>
      <c r="Q669" s="178"/>
      <c r="R669" s="178"/>
      <c r="S669" s="178"/>
      <c r="T669" s="178"/>
      <c r="U669" s="178"/>
      <c r="V669" s="410"/>
      <c r="Z669" s="178"/>
      <c r="AA669" s="178"/>
      <c r="AB669" s="178"/>
      <c r="AC669" s="178"/>
      <c r="AD669" s="178"/>
      <c r="AE669" s="178"/>
      <c r="AF669" s="178"/>
      <c r="AG669" s="178"/>
      <c r="AH669" s="178"/>
      <c r="AI669" s="178"/>
      <c r="AJ669" s="178"/>
      <c r="AK669" s="178"/>
      <c r="AL669" s="178"/>
      <c r="AM669" s="178"/>
      <c r="AN669" s="178"/>
      <c r="AO669" s="178"/>
      <c r="AP669" s="178"/>
      <c r="AQ669" s="178"/>
      <c r="AR669" s="178"/>
      <c r="AS669" s="178"/>
    </row>
    <row r="670" spans="1:45" s="21" customFormat="1" x14ac:dyDescent="0.4">
      <c r="A670" s="27"/>
      <c r="B670" s="645"/>
      <c r="C670" s="645"/>
      <c r="D670" s="131" t="s">
        <v>44</v>
      </c>
      <c r="F670" s="178"/>
      <c r="G670" s="178"/>
      <c r="H670" s="127"/>
      <c r="I670" s="178"/>
      <c r="J670" s="178"/>
      <c r="K670" s="178"/>
      <c r="L670" s="178"/>
      <c r="M670" s="178"/>
      <c r="N670" s="178"/>
      <c r="O670" s="178"/>
      <c r="P670" s="178"/>
      <c r="Q670" s="178"/>
      <c r="R670" s="178"/>
      <c r="S670" s="178"/>
      <c r="T670" s="178"/>
      <c r="U670" s="178"/>
      <c r="V670" s="410"/>
      <c r="Z670" s="178"/>
      <c r="AA670" s="178"/>
      <c r="AB670" s="178"/>
      <c r="AC670" s="178"/>
      <c r="AD670" s="178"/>
      <c r="AE670" s="178"/>
      <c r="AF670" s="178"/>
      <c r="AG670" s="178"/>
      <c r="AH670" s="178"/>
      <c r="AI670" s="178"/>
      <c r="AJ670" s="178"/>
      <c r="AK670" s="178"/>
      <c r="AL670" s="178"/>
      <c r="AM670" s="178"/>
      <c r="AN670" s="178"/>
      <c r="AO670" s="178"/>
      <c r="AP670" s="178"/>
      <c r="AQ670" s="178"/>
      <c r="AR670" s="178"/>
      <c r="AS670" s="178"/>
    </row>
    <row r="671" spans="1:45" s="21" customFormat="1" x14ac:dyDescent="0.4">
      <c r="A671" s="27"/>
      <c r="B671" s="645"/>
      <c r="C671" s="645"/>
      <c r="D671" s="131" t="s">
        <v>44</v>
      </c>
      <c r="F671" s="178"/>
      <c r="G671" s="178"/>
      <c r="H671" s="127"/>
      <c r="I671" s="178"/>
      <c r="J671" s="178"/>
      <c r="K671" s="178"/>
      <c r="L671" s="178"/>
      <c r="M671" s="178"/>
      <c r="N671" s="178"/>
      <c r="O671" s="178"/>
      <c r="P671" s="178"/>
      <c r="Q671" s="178"/>
      <c r="R671" s="178"/>
      <c r="S671" s="178"/>
      <c r="T671" s="178"/>
      <c r="U671" s="178"/>
      <c r="V671" s="410"/>
      <c r="Z671" s="178"/>
      <c r="AA671" s="178"/>
      <c r="AB671" s="178"/>
      <c r="AC671" s="178"/>
      <c r="AD671" s="178"/>
      <c r="AE671" s="178"/>
      <c r="AF671" s="178"/>
      <c r="AG671" s="178"/>
      <c r="AH671" s="178"/>
      <c r="AI671" s="178"/>
      <c r="AJ671" s="178"/>
      <c r="AK671" s="178"/>
      <c r="AL671" s="178"/>
      <c r="AM671" s="178"/>
      <c r="AN671" s="178"/>
      <c r="AO671" s="178"/>
      <c r="AP671" s="178"/>
      <c r="AQ671" s="178"/>
      <c r="AR671" s="178"/>
      <c r="AS671" s="178"/>
    </row>
    <row r="672" spans="1:45" s="21" customFormat="1" x14ac:dyDescent="0.4">
      <c r="A672" s="27"/>
      <c r="B672" s="645"/>
      <c r="C672" s="645"/>
      <c r="D672" s="131" t="s">
        <v>44</v>
      </c>
      <c r="F672" s="178"/>
      <c r="G672" s="178"/>
      <c r="H672" s="127"/>
      <c r="I672" s="178"/>
      <c r="J672" s="178"/>
      <c r="K672" s="178"/>
      <c r="L672" s="178"/>
      <c r="M672" s="178"/>
      <c r="N672" s="178"/>
      <c r="O672" s="178"/>
      <c r="P672" s="178"/>
      <c r="Q672" s="178"/>
      <c r="R672" s="178"/>
      <c r="S672" s="178"/>
      <c r="T672" s="178"/>
      <c r="U672" s="178"/>
      <c r="V672" s="410"/>
      <c r="Z672" s="178"/>
      <c r="AA672" s="178"/>
      <c r="AB672" s="178"/>
      <c r="AC672" s="178"/>
      <c r="AD672" s="178"/>
      <c r="AE672" s="178"/>
      <c r="AF672" s="178"/>
      <c r="AG672" s="178"/>
      <c r="AH672" s="178"/>
      <c r="AI672" s="178"/>
      <c r="AJ672" s="178"/>
      <c r="AK672" s="178"/>
      <c r="AL672" s="178"/>
      <c r="AM672" s="178"/>
      <c r="AN672" s="178"/>
      <c r="AO672" s="178"/>
      <c r="AP672" s="178"/>
      <c r="AQ672" s="178"/>
      <c r="AR672" s="178"/>
      <c r="AS672" s="178"/>
    </row>
    <row r="673" spans="1:45" s="21" customFormat="1" x14ac:dyDescent="0.4">
      <c r="A673" s="27"/>
      <c r="B673" s="645"/>
      <c r="C673" s="645"/>
      <c r="D673" s="131" t="s">
        <v>44</v>
      </c>
      <c r="F673" s="178"/>
      <c r="G673" s="178"/>
      <c r="H673" s="127"/>
      <c r="I673" s="178"/>
      <c r="J673" s="178"/>
      <c r="K673" s="178"/>
      <c r="L673" s="178"/>
      <c r="M673" s="178"/>
      <c r="N673" s="178"/>
      <c r="O673" s="178"/>
      <c r="P673" s="178"/>
      <c r="Q673" s="178"/>
      <c r="R673" s="178"/>
      <c r="S673" s="178"/>
      <c r="T673" s="178"/>
      <c r="U673" s="178"/>
      <c r="V673" s="410"/>
      <c r="Z673" s="178"/>
      <c r="AA673" s="178"/>
      <c r="AB673" s="178"/>
      <c r="AC673" s="178"/>
      <c r="AD673" s="178"/>
      <c r="AE673" s="178"/>
      <c r="AF673" s="178"/>
      <c r="AG673" s="178"/>
      <c r="AH673" s="178"/>
      <c r="AI673" s="178"/>
      <c r="AJ673" s="178"/>
      <c r="AK673" s="178"/>
      <c r="AL673" s="178"/>
      <c r="AM673" s="178"/>
      <c r="AN673" s="178"/>
      <c r="AO673" s="178"/>
      <c r="AP673" s="178"/>
      <c r="AQ673" s="178"/>
      <c r="AR673" s="178"/>
      <c r="AS673" s="178"/>
    </row>
    <row r="674" spans="1:45" s="21" customFormat="1" x14ac:dyDescent="0.4">
      <c r="A674" s="27"/>
      <c r="B674" s="645"/>
      <c r="C674" s="645"/>
      <c r="D674" s="131" t="s">
        <v>44</v>
      </c>
      <c r="F674" s="178"/>
      <c r="G674" s="178"/>
      <c r="H674" s="127"/>
      <c r="I674" s="178"/>
      <c r="J674" s="178"/>
      <c r="K674" s="178"/>
      <c r="L674" s="178"/>
      <c r="M674" s="178"/>
      <c r="N674" s="178"/>
      <c r="O674" s="178"/>
      <c r="P674" s="178"/>
      <c r="Q674" s="178"/>
      <c r="R674" s="178"/>
      <c r="S674" s="178"/>
      <c r="T674" s="178"/>
      <c r="U674" s="178"/>
      <c r="V674" s="410"/>
      <c r="Z674" s="178"/>
      <c r="AA674" s="178"/>
      <c r="AB674" s="178"/>
      <c r="AC674" s="178"/>
      <c r="AD674" s="178"/>
      <c r="AE674" s="178"/>
      <c r="AF674" s="178"/>
      <c r="AG674" s="178"/>
      <c r="AH674" s="178"/>
      <c r="AI674" s="178"/>
      <c r="AJ674" s="178"/>
      <c r="AK674" s="178"/>
      <c r="AL674" s="178"/>
      <c r="AM674" s="178"/>
      <c r="AN674" s="178"/>
      <c r="AO674" s="178"/>
      <c r="AP674" s="178"/>
      <c r="AQ674" s="178"/>
      <c r="AR674" s="178"/>
      <c r="AS674" s="178"/>
    </row>
    <row r="675" spans="1:45" s="21" customFormat="1" x14ac:dyDescent="0.4">
      <c r="A675" s="27"/>
      <c r="B675" s="645"/>
      <c r="C675" s="645"/>
      <c r="D675" s="131"/>
      <c r="F675" s="178"/>
      <c r="G675" s="178"/>
      <c r="H675" s="127"/>
      <c r="I675" s="178"/>
      <c r="J675" s="178"/>
      <c r="K675" s="178"/>
      <c r="L675" s="178"/>
      <c r="M675" s="178"/>
      <c r="N675" s="178"/>
      <c r="O675" s="178"/>
      <c r="P675" s="178"/>
      <c r="Q675" s="178"/>
      <c r="R675" s="178"/>
      <c r="S675" s="178"/>
      <c r="T675" s="178"/>
      <c r="U675" s="178"/>
      <c r="V675" s="410"/>
      <c r="Z675" s="178"/>
      <c r="AA675" s="178"/>
      <c r="AB675" s="178"/>
      <c r="AC675" s="178"/>
      <c r="AD675" s="178"/>
      <c r="AE675" s="178"/>
      <c r="AF675" s="178"/>
      <c r="AG675" s="178"/>
      <c r="AH675" s="178"/>
      <c r="AI675" s="178"/>
      <c r="AJ675" s="178"/>
      <c r="AK675" s="178"/>
      <c r="AL675" s="178"/>
      <c r="AM675" s="178"/>
      <c r="AN675" s="178"/>
      <c r="AO675" s="178"/>
      <c r="AP675" s="178"/>
      <c r="AQ675" s="178"/>
      <c r="AR675" s="178"/>
      <c r="AS675" s="178"/>
    </row>
    <row r="676" spans="1:45" s="21" customFormat="1" x14ac:dyDescent="0.4">
      <c r="A676" s="27"/>
      <c r="B676" s="645"/>
      <c r="C676" s="645"/>
      <c r="D676" s="131"/>
      <c r="F676" s="178"/>
      <c r="G676" s="178"/>
      <c r="H676" s="127"/>
      <c r="I676" s="178"/>
      <c r="J676" s="178"/>
      <c r="K676" s="178"/>
      <c r="L676" s="178"/>
      <c r="M676" s="178"/>
      <c r="N676" s="178"/>
      <c r="O676" s="178"/>
      <c r="P676" s="178"/>
      <c r="Q676" s="178"/>
      <c r="R676" s="178"/>
      <c r="S676" s="178"/>
      <c r="T676" s="178"/>
      <c r="U676" s="178"/>
      <c r="V676" s="410"/>
      <c r="Y676" s="615"/>
      <c r="Z676" s="178"/>
      <c r="AA676" s="178"/>
      <c r="AB676" s="178"/>
      <c r="AC676" s="178"/>
      <c r="AD676" s="178"/>
      <c r="AE676" s="178"/>
      <c r="AF676" s="178"/>
      <c r="AG676" s="178"/>
      <c r="AH676" s="178"/>
      <c r="AI676" s="178"/>
      <c r="AJ676" s="178"/>
      <c r="AK676" s="178"/>
      <c r="AL676" s="178"/>
      <c r="AM676" s="178"/>
      <c r="AN676" s="178"/>
      <c r="AO676" s="178"/>
      <c r="AP676" s="178"/>
      <c r="AQ676" s="178"/>
      <c r="AR676" s="178"/>
      <c r="AS676" s="178"/>
    </row>
    <row r="677" spans="1:45" s="21" customFormat="1" x14ac:dyDescent="0.4">
      <c r="A677" s="27"/>
      <c r="B677" s="645"/>
      <c r="C677" s="645"/>
      <c r="D677" s="131"/>
      <c r="F677" s="178"/>
      <c r="G677" s="178"/>
      <c r="H677" s="127"/>
      <c r="I677" s="178"/>
      <c r="J677" s="178"/>
      <c r="K677" s="178"/>
      <c r="L677" s="178"/>
      <c r="M677" s="178"/>
      <c r="N677" s="178"/>
      <c r="O677" s="178"/>
      <c r="P677" s="178"/>
      <c r="Q677" s="178"/>
      <c r="R677" s="178"/>
      <c r="S677" s="178"/>
      <c r="T677" s="178"/>
      <c r="U677" s="178"/>
      <c r="V677" s="410"/>
      <c r="Z677" s="178"/>
      <c r="AA677" s="178"/>
      <c r="AB677" s="178"/>
      <c r="AC677" s="178"/>
      <c r="AD677" s="178"/>
      <c r="AE677" s="178"/>
      <c r="AF677" s="178"/>
      <c r="AG677" s="178"/>
      <c r="AH677" s="178"/>
      <c r="AI677" s="178"/>
      <c r="AJ677" s="178"/>
      <c r="AK677" s="178"/>
      <c r="AL677" s="178"/>
      <c r="AM677" s="178"/>
      <c r="AN677" s="178"/>
      <c r="AO677" s="178"/>
      <c r="AP677" s="178"/>
      <c r="AQ677" s="178"/>
      <c r="AR677" s="178"/>
      <c r="AS677" s="178"/>
    </row>
    <row r="678" spans="1:45" s="21" customFormat="1" x14ac:dyDescent="0.4">
      <c r="A678" s="27"/>
      <c r="B678" s="645"/>
      <c r="C678" s="645"/>
      <c r="D678" s="131"/>
      <c r="F678" s="178"/>
      <c r="G678" s="178"/>
      <c r="H678" s="127"/>
      <c r="I678" s="178"/>
      <c r="J678" s="178"/>
      <c r="K678" s="178"/>
      <c r="L678" s="178"/>
      <c r="M678" s="178"/>
      <c r="N678" s="178"/>
      <c r="O678" s="178"/>
      <c r="P678" s="178"/>
      <c r="Q678" s="178"/>
      <c r="R678" s="178"/>
      <c r="S678" s="178"/>
      <c r="T678" s="178"/>
      <c r="U678" s="178"/>
      <c r="V678" s="410"/>
      <c r="Z678" s="178"/>
      <c r="AA678" s="178"/>
      <c r="AB678" s="178"/>
      <c r="AC678" s="178"/>
      <c r="AD678" s="178"/>
      <c r="AE678" s="178"/>
      <c r="AF678" s="178"/>
      <c r="AG678" s="178"/>
      <c r="AH678" s="178"/>
      <c r="AI678" s="178"/>
      <c r="AJ678" s="178"/>
      <c r="AK678" s="178"/>
      <c r="AL678" s="178"/>
      <c r="AM678" s="178"/>
      <c r="AN678" s="178"/>
      <c r="AO678" s="178"/>
      <c r="AP678" s="178"/>
      <c r="AQ678" s="178"/>
      <c r="AR678" s="178"/>
      <c r="AS678" s="178"/>
    </row>
    <row r="679" spans="1:45" s="21" customFormat="1" x14ac:dyDescent="0.4">
      <c r="A679" s="27"/>
      <c r="B679" s="645"/>
      <c r="C679" s="645"/>
      <c r="D679" s="131"/>
      <c r="F679" s="178"/>
      <c r="G679" s="178"/>
      <c r="H679" s="127"/>
      <c r="I679" s="178"/>
      <c r="J679" s="178"/>
      <c r="K679" s="178"/>
      <c r="L679" s="178"/>
      <c r="M679" s="178"/>
      <c r="N679" s="178"/>
      <c r="O679" s="178"/>
      <c r="P679" s="178"/>
      <c r="Q679" s="178"/>
      <c r="R679" s="178"/>
      <c r="S679" s="178"/>
      <c r="T679" s="178"/>
      <c r="U679" s="178"/>
      <c r="V679" s="410"/>
      <c r="Z679" s="178"/>
      <c r="AA679" s="178"/>
      <c r="AB679" s="178"/>
      <c r="AC679" s="178"/>
      <c r="AD679" s="178"/>
      <c r="AE679" s="178"/>
      <c r="AF679" s="178"/>
      <c r="AG679" s="178"/>
      <c r="AH679" s="178"/>
      <c r="AI679" s="178"/>
      <c r="AJ679" s="178"/>
      <c r="AK679" s="178"/>
      <c r="AL679" s="178"/>
      <c r="AM679" s="178"/>
      <c r="AN679" s="178"/>
      <c r="AO679" s="178"/>
      <c r="AP679" s="178"/>
      <c r="AQ679" s="178"/>
      <c r="AR679" s="178"/>
      <c r="AS679" s="178"/>
    </row>
    <row r="680" spans="1:45" s="21" customFormat="1" x14ac:dyDescent="0.4">
      <c r="A680" s="27"/>
      <c r="B680" s="645"/>
      <c r="C680" s="645"/>
      <c r="D680" s="131"/>
      <c r="F680" s="178"/>
      <c r="G680" s="178"/>
      <c r="H680" s="127"/>
      <c r="I680" s="178"/>
      <c r="J680" s="178"/>
      <c r="K680" s="178"/>
      <c r="L680" s="178"/>
      <c r="M680" s="178"/>
      <c r="N680" s="178"/>
      <c r="O680" s="178"/>
      <c r="P680" s="178"/>
      <c r="Q680" s="178"/>
      <c r="R680" s="178"/>
      <c r="S680" s="178"/>
      <c r="T680" s="178"/>
      <c r="U680" s="178"/>
      <c r="V680" s="410"/>
      <c r="Z680" s="178"/>
      <c r="AA680" s="178"/>
      <c r="AB680" s="178"/>
      <c r="AC680" s="178"/>
      <c r="AD680" s="178"/>
      <c r="AE680" s="178"/>
      <c r="AF680" s="178"/>
      <c r="AG680" s="178"/>
      <c r="AH680" s="178"/>
      <c r="AI680" s="178"/>
      <c r="AJ680" s="178"/>
      <c r="AK680" s="178"/>
      <c r="AL680" s="178"/>
      <c r="AM680" s="178"/>
      <c r="AN680" s="178"/>
      <c r="AO680" s="178"/>
      <c r="AP680" s="178"/>
      <c r="AQ680" s="178"/>
      <c r="AR680" s="178"/>
      <c r="AS680" s="178"/>
    </row>
    <row r="681" spans="1:45" s="21" customFormat="1" x14ac:dyDescent="0.4">
      <c r="A681" s="27"/>
      <c r="B681" s="645"/>
      <c r="C681" s="645"/>
      <c r="D681" s="131"/>
      <c r="F681" s="178"/>
      <c r="G681" s="178"/>
      <c r="H681" s="127"/>
      <c r="I681" s="178"/>
      <c r="J681" s="178"/>
      <c r="K681" s="178"/>
      <c r="L681" s="178"/>
      <c r="M681" s="178"/>
      <c r="N681" s="178"/>
      <c r="O681" s="178"/>
      <c r="P681" s="178"/>
      <c r="Q681" s="178"/>
      <c r="R681" s="178"/>
      <c r="S681" s="178"/>
      <c r="T681" s="178"/>
      <c r="U681" s="178"/>
      <c r="V681" s="410"/>
      <c r="Z681" s="178"/>
      <c r="AA681" s="178"/>
      <c r="AB681" s="178"/>
      <c r="AC681" s="178"/>
      <c r="AD681" s="178"/>
      <c r="AE681" s="178"/>
      <c r="AF681" s="178"/>
      <c r="AG681" s="178"/>
      <c r="AH681" s="178"/>
      <c r="AI681" s="178"/>
      <c r="AJ681" s="178"/>
      <c r="AK681" s="178"/>
      <c r="AL681" s="178"/>
      <c r="AM681" s="178"/>
      <c r="AN681" s="178"/>
      <c r="AO681" s="178"/>
      <c r="AP681" s="178"/>
      <c r="AQ681" s="178"/>
      <c r="AR681" s="178"/>
      <c r="AS681" s="178"/>
    </row>
    <row r="682" spans="1:45" s="21" customFormat="1" x14ac:dyDescent="0.4">
      <c r="A682" s="27"/>
      <c r="B682" s="645"/>
      <c r="C682" s="645"/>
      <c r="D682" s="131"/>
      <c r="F682" s="178"/>
      <c r="G682" s="178"/>
      <c r="H682" s="127"/>
      <c r="I682" s="178"/>
      <c r="J682" s="178"/>
      <c r="K682" s="178"/>
      <c r="L682" s="178"/>
      <c r="M682" s="178"/>
      <c r="N682" s="178"/>
      <c r="O682" s="178"/>
      <c r="P682" s="178"/>
      <c r="Q682" s="178"/>
      <c r="R682" s="178"/>
      <c r="S682" s="178"/>
      <c r="T682" s="178"/>
      <c r="U682" s="178"/>
      <c r="V682" s="410"/>
      <c r="Z682" s="178"/>
      <c r="AA682" s="178"/>
      <c r="AB682" s="178"/>
      <c r="AC682" s="178"/>
      <c r="AD682" s="178"/>
      <c r="AE682" s="178"/>
      <c r="AF682" s="178"/>
      <c r="AG682" s="178"/>
      <c r="AH682" s="178"/>
      <c r="AI682" s="178"/>
      <c r="AJ682" s="178"/>
      <c r="AK682" s="178"/>
      <c r="AL682" s="178"/>
      <c r="AM682" s="178"/>
      <c r="AN682" s="178"/>
      <c r="AO682" s="178"/>
      <c r="AP682" s="178"/>
      <c r="AQ682" s="178"/>
      <c r="AR682" s="178"/>
      <c r="AS682" s="178"/>
    </row>
    <row r="683" spans="1:45" s="21" customFormat="1" x14ac:dyDescent="0.4">
      <c r="A683" s="27"/>
      <c r="B683" s="645"/>
      <c r="C683" s="645"/>
      <c r="D683" s="131"/>
      <c r="F683" s="178"/>
      <c r="G683" s="178"/>
      <c r="H683" s="127"/>
      <c r="I683" s="178"/>
      <c r="J683" s="178"/>
      <c r="K683" s="178"/>
      <c r="L683" s="178"/>
      <c r="M683" s="178"/>
      <c r="N683" s="178"/>
      <c r="O683" s="178"/>
      <c r="P683" s="178"/>
      <c r="Q683" s="178"/>
      <c r="R683" s="178"/>
      <c r="S683" s="178"/>
      <c r="T683" s="178"/>
      <c r="U683" s="178"/>
      <c r="V683" s="410"/>
      <c r="Z683" s="178"/>
      <c r="AA683" s="178"/>
      <c r="AB683" s="178"/>
      <c r="AC683" s="178"/>
      <c r="AD683" s="178"/>
      <c r="AE683" s="178"/>
      <c r="AF683" s="178"/>
      <c r="AG683" s="178"/>
      <c r="AH683" s="178"/>
      <c r="AI683" s="178"/>
      <c r="AJ683" s="178"/>
      <c r="AK683" s="178"/>
      <c r="AL683" s="178"/>
      <c r="AM683" s="178"/>
      <c r="AN683" s="178"/>
      <c r="AO683" s="178"/>
      <c r="AP683" s="178"/>
      <c r="AQ683" s="178"/>
      <c r="AR683" s="178"/>
      <c r="AS683" s="178"/>
    </row>
    <row r="684" spans="1:45" s="21" customFormat="1" x14ac:dyDescent="0.4">
      <c r="A684" s="27"/>
      <c r="B684" s="645"/>
      <c r="C684" s="645"/>
      <c r="D684" s="131"/>
      <c r="F684" s="178"/>
      <c r="G684" s="178"/>
      <c r="H684" s="127"/>
      <c r="I684" s="178"/>
      <c r="J684" s="178"/>
      <c r="K684" s="178"/>
      <c r="L684" s="178"/>
      <c r="M684" s="178"/>
      <c r="N684" s="178"/>
      <c r="O684" s="178"/>
      <c r="P684" s="178"/>
      <c r="Q684" s="178"/>
      <c r="R684" s="178"/>
      <c r="S684" s="178"/>
      <c r="T684" s="178"/>
      <c r="U684" s="178"/>
      <c r="V684" s="410"/>
      <c r="Z684" s="178"/>
      <c r="AA684" s="178"/>
      <c r="AB684" s="178"/>
      <c r="AC684" s="178"/>
      <c r="AD684" s="178"/>
      <c r="AE684" s="178"/>
      <c r="AF684" s="178"/>
      <c r="AG684" s="178"/>
      <c r="AH684" s="178"/>
      <c r="AI684" s="178"/>
      <c r="AJ684" s="178"/>
      <c r="AK684" s="178"/>
      <c r="AL684" s="178"/>
      <c r="AM684" s="178"/>
      <c r="AN684" s="178"/>
      <c r="AO684" s="178"/>
      <c r="AP684" s="178"/>
      <c r="AQ684" s="178"/>
      <c r="AR684" s="178"/>
      <c r="AS684" s="178"/>
    </row>
    <row r="685" spans="1:45" s="21" customFormat="1" x14ac:dyDescent="0.4">
      <c r="A685" s="27"/>
      <c r="B685" s="645"/>
      <c r="C685" s="645"/>
      <c r="D685" s="131"/>
      <c r="F685" s="178"/>
      <c r="G685" s="178"/>
      <c r="H685" s="127"/>
      <c r="I685" s="178"/>
      <c r="J685" s="178"/>
      <c r="K685" s="178"/>
      <c r="L685" s="178"/>
      <c r="M685" s="178"/>
      <c r="N685" s="178"/>
      <c r="O685" s="178"/>
      <c r="P685" s="178"/>
      <c r="Q685" s="178"/>
      <c r="R685" s="178"/>
      <c r="S685" s="178"/>
      <c r="T685" s="178"/>
      <c r="U685" s="178"/>
      <c r="V685" s="410"/>
      <c r="Z685" s="178"/>
      <c r="AA685" s="178"/>
      <c r="AB685" s="178"/>
      <c r="AC685" s="178"/>
      <c r="AD685" s="178"/>
      <c r="AE685" s="178"/>
      <c r="AF685" s="178"/>
      <c r="AG685" s="178"/>
      <c r="AH685" s="178"/>
      <c r="AI685" s="178"/>
      <c r="AJ685" s="178"/>
      <c r="AK685" s="178"/>
      <c r="AL685" s="178"/>
      <c r="AM685" s="178"/>
      <c r="AN685" s="178"/>
      <c r="AO685" s="178"/>
      <c r="AP685" s="178"/>
      <c r="AQ685" s="178"/>
      <c r="AR685" s="178"/>
      <c r="AS685" s="178"/>
    </row>
    <row r="686" spans="1:45" s="21" customFormat="1" x14ac:dyDescent="0.4">
      <c r="A686" s="27"/>
      <c r="B686" s="645"/>
      <c r="C686" s="645"/>
      <c r="D686" s="131"/>
      <c r="F686" s="178"/>
      <c r="G686" s="178"/>
      <c r="H686" s="127"/>
      <c r="I686" s="178"/>
      <c r="J686" s="178"/>
      <c r="K686" s="178"/>
      <c r="L686" s="178"/>
      <c r="M686" s="178"/>
      <c r="N686" s="178"/>
      <c r="O686" s="178"/>
      <c r="P686" s="178"/>
      <c r="Q686" s="178"/>
      <c r="R686" s="178"/>
      <c r="S686" s="178"/>
      <c r="T686" s="178"/>
      <c r="U686" s="178"/>
      <c r="V686" s="410"/>
      <c r="Z686" s="178"/>
      <c r="AA686" s="178"/>
      <c r="AB686" s="178"/>
      <c r="AC686" s="178"/>
      <c r="AD686" s="178"/>
      <c r="AE686" s="178"/>
      <c r="AF686" s="178"/>
      <c r="AG686" s="178"/>
      <c r="AH686" s="178"/>
      <c r="AI686" s="178"/>
      <c r="AJ686" s="178"/>
      <c r="AK686" s="178"/>
      <c r="AL686" s="178"/>
      <c r="AM686" s="178"/>
      <c r="AN686" s="178"/>
      <c r="AO686" s="178"/>
      <c r="AP686" s="178"/>
      <c r="AQ686" s="178"/>
      <c r="AR686" s="178"/>
      <c r="AS686" s="178"/>
    </row>
    <row r="687" spans="1:45" s="21" customFormat="1" x14ac:dyDescent="0.4">
      <c r="A687" s="27"/>
      <c r="B687" s="645"/>
      <c r="C687" s="645"/>
      <c r="D687" s="131"/>
      <c r="F687" s="178"/>
      <c r="G687" s="178"/>
      <c r="H687" s="127"/>
      <c r="I687" s="178"/>
      <c r="J687" s="178"/>
      <c r="K687" s="178"/>
      <c r="L687" s="178"/>
      <c r="M687" s="178"/>
      <c r="N687" s="178"/>
      <c r="O687" s="178"/>
      <c r="P687" s="178"/>
      <c r="Q687" s="178"/>
      <c r="R687" s="178"/>
      <c r="S687" s="178"/>
      <c r="T687" s="178"/>
      <c r="U687" s="178"/>
      <c r="V687" s="410"/>
      <c r="Z687" s="178"/>
      <c r="AA687" s="178"/>
      <c r="AB687" s="178"/>
      <c r="AC687" s="178"/>
      <c r="AD687" s="178"/>
      <c r="AE687" s="178"/>
      <c r="AF687" s="178"/>
      <c r="AG687" s="178"/>
      <c r="AH687" s="178"/>
      <c r="AI687" s="178"/>
      <c r="AJ687" s="178"/>
      <c r="AK687" s="178"/>
      <c r="AL687" s="178"/>
      <c r="AM687" s="178"/>
      <c r="AN687" s="178"/>
      <c r="AO687" s="178"/>
      <c r="AP687" s="178"/>
      <c r="AQ687" s="178"/>
      <c r="AR687" s="178"/>
      <c r="AS687" s="178"/>
    </row>
    <row r="688" spans="1:45" s="21" customFormat="1" x14ac:dyDescent="0.4">
      <c r="A688" s="27"/>
      <c r="B688" s="645"/>
      <c r="C688" s="645"/>
      <c r="D688" s="131"/>
      <c r="F688" s="178"/>
      <c r="G688" s="178"/>
      <c r="H688" s="127"/>
      <c r="I688" s="178"/>
      <c r="J688" s="178"/>
      <c r="K688" s="178"/>
      <c r="L688" s="178"/>
      <c r="M688" s="178"/>
      <c r="N688" s="178"/>
      <c r="O688" s="178"/>
      <c r="P688" s="178"/>
      <c r="Q688" s="178"/>
      <c r="R688" s="178"/>
      <c r="S688" s="178"/>
      <c r="T688" s="178"/>
      <c r="U688" s="178"/>
      <c r="V688" s="410"/>
      <c r="Z688" s="178"/>
      <c r="AA688" s="178"/>
      <c r="AB688" s="178"/>
      <c r="AC688" s="178"/>
      <c r="AD688" s="178"/>
      <c r="AE688" s="178"/>
      <c r="AF688" s="178"/>
      <c r="AG688" s="178"/>
      <c r="AH688" s="178"/>
      <c r="AI688" s="178"/>
      <c r="AJ688" s="178"/>
      <c r="AK688" s="178"/>
      <c r="AL688" s="178"/>
      <c r="AM688" s="178"/>
      <c r="AN688" s="178"/>
      <c r="AO688" s="178"/>
      <c r="AP688" s="178"/>
      <c r="AQ688" s="178"/>
      <c r="AR688" s="178"/>
      <c r="AS688" s="178"/>
    </row>
    <row r="689" spans="1:45" s="21" customFormat="1" x14ac:dyDescent="0.4">
      <c r="A689" s="27"/>
      <c r="B689" s="645"/>
      <c r="C689" s="645"/>
      <c r="D689" s="131"/>
      <c r="F689" s="178"/>
      <c r="G689" s="178"/>
      <c r="H689" s="127"/>
      <c r="I689" s="178"/>
      <c r="J689" s="178"/>
      <c r="K689" s="178"/>
      <c r="L689" s="178"/>
      <c r="M689" s="178"/>
      <c r="N689" s="178"/>
      <c r="O689" s="178"/>
      <c r="P689" s="178"/>
      <c r="Q689" s="178"/>
      <c r="R689" s="178"/>
      <c r="S689" s="178"/>
      <c r="T689" s="178"/>
      <c r="U689" s="178"/>
      <c r="V689" s="410"/>
      <c r="Z689" s="178"/>
      <c r="AA689" s="178"/>
      <c r="AB689" s="178"/>
      <c r="AC689" s="178"/>
      <c r="AD689" s="178"/>
      <c r="AE689" s="178"/>
      <c r="AF689" s="178"/>
      <c r="AG689" s="178"/>
      <c r="AH689" s="178"/>
      <c r="AI689" s="178"/>
      <c r="AJ689" s="178"/>
      <c r="AK689" s="178"/>
      <c r="AL689" s="178"/>
      <c r="AM689" s="178"/>
      <c r="AN689" s="178"/>
      <c r="AO689" s="178"/>
      <c r="AP689" s="178"/>
      <c r="AQ689" s="178"/>
      <c r="AR689" s="178"/>
      <c r="AS689" s="178"/>
    </row>
    <row r="690" spans="1:45" s="21" customFormat="1" x14ac:dyDescent="0.4">
      <c r="A690" s="27"/>
      <c r="B690" s="645"/>
      <c r="C690" s="645"/>
      <c r="D690" s="131"/>
      <c r="F690" s="178"/>
      <c r="G690" s="178"/>
      <c r="H690" s="127"/>
      <c r="I690" s="178"/>
      <c r="J690" s="178"/>
      <c r="K690" s="178"/>
      <c r="L690" s="178"/>
      <c r="M690" s="178"/>
      <c r="N690" s="178"/>
      <c r="O690" s="178"/>
      <c r="P690" s="178"/>
      <c r="Q690" s="178"/>
      <c r="R690" s="178"/>
      <c r="S690" s="178"/>
      <c r="T690" s="178"/>
      <c r="U690" s="178"/>
      <c r="V690" s="410"/>
      <c r="Z690" s="178"/>
      <c r="AA690" s="178"/>
      <c r="AB690" s="178"/>
      <c r="AC690" s="178"/>
      <c r="AD690" s="178"/>
      <c r="AE690" s="178"/>
      <c r="AF690" s="178"/>
      <c r="AG690" s="178"/>
      <c r="AH690" s="178"/>
      <c r="AI690" s="178"/>
      <c r="AJ690" s="178"/>
      <c r="AK690" s="178"/>
      <c r="AL690" s="178"/>
      <c r="AM690" s="178"/>
      <c r="AN690" s="178"/>
      <c r="AO690" s="178"/>
      <c r="AP690" s="178"/>
      <c r="AQ690" s="178"/>
      <c r="AR690" s="178"/>
      <c r="AS690" s="178"/>
    </row>
    <row r="691" spans="1:45" s="21" customFormat="1" x14ac:dyDescent="0.4">
      <c r="A691" s="27"/>
      <c r="B691" s="645"/>
      <c r="C691" s="645"/>
      <c r="D691" s="131"/>
      <c r="F691" s="178"/>
      <c r="G691" s="178"/>
      <c r="H691" s="127"/>
      <c r="I691" s="178"/>
      <c r="J691" s="178"/>
      <c r="K691" s="178"/>
      <c r="L691" s="178"/>
      <c r="M691" s="178"/>
      <c r="N691" s="178"/>
      <c r="O691" s="178"/>
      <c r="P691" s="178"/>
      <c r="Q691" s="178"/>
      <c r="R691" s="178"/>
      <c r="S691" s="178"/>
      <c r="T691" s="178"/>
      <c r="U691" s="178"/>
      <c r="V691" s="410"/>
      <c r="Z691" s="178"/>
      <c r="AA691" s="178"/>
      <c r="AB691" s="178"/>
      <c r="AC691" s="178"/>
      <c r="AD691" s="178"/>
      <c r="AE691" s="178"/>
      <c r="AF691" s="178"/>
      <c r="AG691" s="178"/>
      <c r="AH691" s="178"/>
      <c r="AI691" s="178"/>
      <c r="AJ691" s="178"/>
      <c r="AK691" s="178"/>
      <c r="AL691" s="178"/>
      <c r="AM691" s="178"/>
      <c r="AN691" s="178"/>
      <c r="AO691" s="178"/>
      <c r="AP691" s="178"/>
      <c r="AQ691" s="178"/>
      <c r="AR691" s="178"/>
      <c r="AS691" s="178"/>
    </row>
    <row r="692" spans="1:45" s="21" customFormat="1" x14ac:dyDescent="0.4">
      <c r="A692" s="27"/>
      <c r="B692" s="645"/>
      <c r="C692" s="645"/>
      <c r="D692" s="131"/>
      <c r="F692" s="178"/>
      <c r="G692" s="178"/>
      <c r="H692" s="127"/>
      <c r="I692" s="178"/>
      <c r="J692" s="178"/>
      <c r="K692" s="178"/>
      <c r="L692" s="178"/>
      <c r="M692" s="178"/>
      <c r="N692" s="178"/>
      <c r="O692" s="178"/>
      <c r="P692" s="178"/>
      <c r="Q692" s="178"/>
      <c r="R692" s="178"/>
      <c r="S692" s="178"/>
      <c r="T692" s="178"/>
      <c r="U692" s="178"/>
      <c r="V692" s="410"/>
      <c r="Z692" s="178"/>
      <c r="AA692" s="178"/>
      <c r="AB692" s="178"/>
      <c r="AC692" s="178"/>
      <c r="AD692" s="178"/>
      <c r="AE692" s="178"/>
      <c r="AF692" s="178"/>
      <c r="AG692" s="178"/>
      <c r="AH692" s="178"/>
      <c r="AI692" s="178"/>
      <c r="AJ692" s="178"/>
      <c r="AK692" s="178"/>
      <c r="AL692" s="178"/>
      <c r="AM692" s="178"/>
      <c r="AN692" s="178"/>
      <c r="AO692" s="178"/>
      <c r="AP692" s="178"/>
      <c r="AQ692" s="178"/>
      <c r="AR692" s="178"/>
      <c r="AS692" s="178"/>
    </row>
    <row r="693" spans="1:45" s="21" customFormat="1" x14ac:dyDescent="0.4">
      <c r="A693" s="27"/>
      <c r="B693" s="645"/>
      <c r="C693" s="645"/>
      <c r="D693" s="131"/>
      <c r="F693" s="178"/>
      <c r="G693" s="178"/>
      <c r="H693" s="127"/>
      <c r="I693" s="178"/>
      <c r="J693" s="178"/>
      <c r="K693" s="178"/>
      <c r="L693" s="178"/>
      <c r="M693" s="178"/>
      <c r="N693" s="178"/>
      <c r="O693" s="178"/>
      <c r="P693" s="178"/>
      <c r="Q693" s="178"/>
      <c r="R693" s="178"/>
      <c r="S693" s="178"/>
      <c r="T693" s="178"/>
      <c r="U693" s="178"/>
      <c r="V693" s="410"/>
      <c r="Z693" s="178"/>
      <c r="AA693" s="178"/>
      <c r="AB693" s="178"/>
      <c r="AC693" s="178"/>
      <c r="AD693" s="178"/>
      <c r="AE693" s="178"/>
      <c r="AF693" s="178"/>
      <c r="AG693" s="178"/>
      <c r="AH693" s="178"/>
      <c r="AI693" s="178"/>
      <c r="AJ693" s="178"/>
      <c r="AK693" s="178"/>
      <c r="AL693" s="178"/>
      <c r="AM693" s="178"/>
      <c r="AN693" s="178"/>
      <c r="AO693" s="178"/>
      <c r="AP693" s="178"/>
      <c r="AQ693" s="178"/>
      <c r="AR693" s="178"/>
      <c r="AS693" s="178"/>
    </row>
    <row r="694" spans="1:45" s="21" customFormat="1" x14ac:dyDescent="0.4">
      <c r="A694" s="27"/>
      <c r="B694" s="645"/>
      <c r="C694" s="645"/>
      <c r="D694" s="131"/>
      <c r="F694" s="178"/>
      <c r="G694" s="178"/>
      <c r="H694" s="127"/>
      <c r="I694" s="178"/>
      <c r="J694" s="178"/>
      <c r="K694" s="178"/>
      <c r="L694" s="178"/>
      <c r="M694" s="178"/>
      <c r="N694" s="178"/>
      <c r="O694" s="178"/>
      <c r="P694" s="178"/>
      <c r="Q694" s="178"/>
      <c r="R694" s="178"/>
      <c r="S694" s="178"/>
      <c r="T694" s="178"/>
      <c r="U694" s="178"/>
      <c r="V694" s="410"/>
      <c r="Z694" s="178"/>
      <c r="AA694" s="178"/>
      <c r="AB694" s="178"/>
      <c r="AC694" s="178"/>
      <c r="AD694" s="178"/>
      <c r="AE694" s="178"/>
      <c r="AF694" s="178"/>
      <c r="AG694" s="178"/>
      <c r="AH694" s="178"/>
      <c r="AI694" s="178"/>
      <c r="AJ694" s="178"/>
      <c r="AK694" s="178"/>
      <c r="AL694" s="178"/>
      <c r="AM694" s="178"/>
      <c r="AN694" s="178"/>
      <c r="AO694" s="178"/>
      <c r="AP694" s="178"/>
      <c r="AQ694" s="178"/>
      <c r="AR694" s="178"/>
      <c r="AS694" s="178"/>
    </row>
    <row r="695" spans="1:45" s="21" customFormat="1" x14ac:dyDescent="0.4">
      <c r="A695" s="27"/>
      <c r="B695" s="645"/>
      <c r="C695" s="645"/>
      <c r="D695" s="131"/>
      <c r="F695" s="178"/>
      <c r="G695" s="178"/>
      <c r="H695" s="127"/>
      <c r="I695" s="178"/>
      <c r="J695" s="178"/>
      <c r="K695" s="178"/>
      <c r="L695" s="178"/>
      <c r="M695" s="178"/>
      <c r="N695" s="178"/>
      <c r="O695" s="178"/>
      <c r="P695" s="178"/>
      <c r="Q695" s="178"/>
      <c r="R695" s="178"/>
      <c r="S695" s="178"/>
      <c r="T695" s="178"/>
      <c r="U695" s="178"/>
      <c r="V695" s="410"/>
      <c r="Z695" s="178"/>
      <c r="AA695" s="178"/>
      <c r="AB695" s="178"/>
      <c r="AC695" s="178"/>
      <c r="AD695" s="178"/>
      <c r="AE695" s="178"/>
      <c r="AF695" s="178"/>
      <c r="AG695" s="178"/>
      <c r="AH695" s="178"/>
      <c r="AI695" s="178"/>
      <c r="AJ695" s="178"/>
      <c r="AK695" s="178"/>
      <c r="AL695" s="178"/>
      <c r="AM695" s="178"/>
      <c r="AN695" s="178"/>
      <c r="AO695" s="178"/>
      <c r="AP695" s="178"/>
      <c r="AQ695" s="178"/>
      <c r="AR695" s="178"/>
      <c r="AS695" s="178"/>
    </row>
    <row r="696" spans="1:45" s="21" customFormat="1" x14ac:dyDescent="0.4">
      <c r="A696" s="27"/>
      <c r="B696" s="645"/>
      <c r="C696" s="645"/>
      <c r="D696" s="131"/>
      <c r="F696" s="178"/>
      <c r="G696" s="178"/>
      <c r="H696" s="127"/>
      <c r="I696" s="178"/>
      <c r="J696" s="178"/>
      <c r="K696" s="178"/>
      <c r="L696" s="178"/>
      <c r="M696" s="178"/>
      <c r="N696" s="178"/>
      <c r="O696" s="178"/>
      <c r="P696" s="178"/>
      <c r="Q696" s="178"/>
      <c r="R696" s="178"/>
      <c r="S696" s="178"/>
      <c r="T696" s="178"/>
      <c r="U696" s="178"/>
      <c r="V696" s="410"/>
      <c r="Z696" s="178"/>
      <c r="AA696" s="178"/>
      <c r="AB696" s="178"/>
      <c r="AC696" s="178"/>
      <c r="AD696" s="178"/>
      <c r="AE696" s="178"/>
      <c r="AF696" s="178"/>
      <c r="AG696" s="178"/>
      <c r="AH696" s="178"/>
      <c r="AI696" s="178"/>
      <c r="AJ696" s="178"/>
      <c r="AK696" s="178"/>
      <c r="AL696" s="178"/>
      <c r="AM696" s="178"/>
      <c r="AN696" s="178"/>
      <c r="AO696" s="178"/>
      <c r="AP696" s="178"/>
      <c r="AQ696" s="178"/>
      <c r="AR696" s="178"/>
      <c r="AS696" s="178"/>
    </row>
    <row r="697" spans="1:45" s="21" customFormat="1" x14ac:dyDescent="0.4">
      <c r="A697" s="27"/>
      <c r="B697" s="645"/>
      <c r="C697" s="645"/>
      <c r="D697" s="131"/>
      <c r="F697" s="178"/>
      <c r="G697" s="178"/>
      <c r="H697" s="127"/>
      <c r="I697" s="178"/>
      <c r="J697" s="178"/>
      <c r="K697" s="178"/>
      <c r="L697" s="178"/>
      <c r="M697" s="178"/>
      <c r="N697" s="178"/>
      <c r="O697" s="178"/>
      <c r="P697" s="178"/>
      <c r="Q697" s="178"/>
      <c r="R697" s="178"/>
      <c r="S697" s="178"/>
      <c r="T697" s="178"/>
      <c r="U697" s="178"/>
      <c r="V697" s="410"/>
      <c r="Z697" s="178"/>
      <c r="AA697" s="178"/>
      <c r="AB697" s="178"/>
      <c r="AC697" s="178"/>
      <c r="AD697" s="178"/>
      <c r="AE697" s="178"/>
      <c r="AF697" s="178"/>
      <c r="AG697" s="178"/>
      <c r="AH697" s="178"/>
      <c r="AI697" s="178"/>
      <c r="AJ697" s="178"/>
      <c r="AK697" s="178"/>
      <c r="AL697" s="178"/>
      <c r="AM697" s="178"/>
      <c r="AN697" s="178"/>
      <c r="AO697" s="178"/>
      <c r="AP697" s="178"/>
      <c r="AQ697" s="178"/>
      <c r="AR697" s="178"/>
      <c r="AS697" s="178"/>
    </row>
    <row r="698" spans="1:45" s="748" customFormat="1" ht="27" customHeight="1" x14ac:dyDescent="0.4">
      <c r="A698" s="747"/>
      <c r="B698" s="747"/>
      <c r="C698" s="747"/>
      <c r="E698" s="748" t="str">
        <f>UPPER('Talnagögn | Numerical Data'!$E$14)</f>
        <v>LOSUNARSPÁ: SVIÐSMYND BYGGÐ Á AÐGERÐUM STJÓRNVALDA</v>
      </c>
      <c r="F698" s="749"/>
      <c r="G698" s="749"/>
      <c r="H698" s="749"/>
      <c r="I698" s="749"/>
      <c r="J698" s="749"/>
      <c r="K698" s="749"/>
      <c r="L698" s="749"/>
      <c r="M698" s="749"/>
      <c r="N698" s="749"/>
      <c r="O698" s="749"/>
      <c r="P698" s="749"/>
      <c r="Q698" s="749"/>
      <c r="R698" s="749"/>
      <c r="S698" s="749"/>
      <c r="T698" s="749"/>
      <c r="U698" s="749"/>
      <c r="V698" s="750"/>
      <c r="Y698" s="748" t="str">
        <f>UPPER('Talnagögn | Numerical Data'!$G$14)</f>
        <v>EMISSION PROJECTIONS: GOVERNMENT POLICY-BASED SCENARIO</v>
      </c>
      <c r="Z698" s="749"/>
      <c r="AA698" s="749"/>
      <c r="AB698" s="749"/>
      <c r="AC698" s="749"/>
      <c r="AD698" s="749"/>
      <c r="AE698" s="749"/>
      <c r="AF698" s="749"/>
      <c r="AG698" s="749"/>
      <c r="AH698" s="749"/>
      <c r="AI698" s="749"/>
      <c r="AJ698" s="749"/>
      <c r="AK698" s="749"/>
      <c r="AL698" s="749"/>
      <c r="AM698" s="749"/>
      <c r="AN698" s="749"/>
      <c r="AO698" s="749"/>
      <c r="AP698" s="749"/>
      <c r="AQ698" s="749"/>
      <c r="AR698" s="749"/>
      <c r="AS698" s="749"/>
    </row>
    <row r="699" spans="1:45" s="21" customFormat="1" x14ac:dyDescent="0.4">
      <c r="A699" s="27"/>
      <c r="B699" s="645"/>
      <c r="C699" s="645"/>
      <c r="D699" s="131" t="s">
        <v>44</v>
      </c>
      <c r="F699" s="178"/>
      <c r="G699" s="178"/>
      <c r="H699" s="127"/>
      <c r="I699" s="178"/>
      <c r="J699" s="178"/>
      <c r="K699" s="178"/>
      <c r="L699" s="178"/>
      <c r="M699" s="178"/>
      <c r="N699" s="178"/>
      <c r="O699" s="178"/>
      <c r="P699" s="178"/>
      <c r="Q699" s="178"/>
      <c r="R699" s="178"/>
      <c r="S699" s="178"/>
      <c r="T699" s="178"/>
      <c r="U699" s="178"/>
      <c r="V699" s="410"/>
      <c r="Z699" s="178"/>
      <c r="AA699" s="178"/>
      <c r="AB699" s="178"/>
      <c r="AC699" s="178"/>
      <c r="AD699" s="178"/>
      <c r="AE699" s="178"/>
      <c r="AF699" s="178"/>
      <c r="AG699" s="178"/>
      <c r="AH699" s="178"/>
      <c r="AI699" s="178"/>
      <c r="AJ699" s="178"/>
      <c r="AK699" s="178"/>
      <c r="AL699" s="178"/>
      <c r="AM699" s="178"/>
      <c r="AN699" s="178"/>
      <c r="AO699" s="178"/>
      <c r="AP699" s="178"/>
      <c r="AQ699" s="178"/>
      <c r="AR699" s="178"/>
      <c r="AS699" s="178"/>
    </row>
    <row r="700" spans="1:45" s="21" customFormat="1" x14ac:dyDescent="0.4">
      <c r="A700" s="27"/>
      <c r="B700" s="645"/>
      <c r="C700" s="645"/>
      <c r="D700" s="131" t="s">
        <v>44</v>
      </c>
      <c r="F700" s="178"/>
      <c r="G700" s="178"/>
      <c r="H700" s="127"/>
      <c r="I700" s="178"/>
      <c r="J700" s="178"/>
      <c r="K700" s="178"/>
      <c r="L700" s="178"/>
      <c r="M700" s="178"/>
      <c r="N700" s="178"/>
      <c r="O700" s="178"/>
      <c r="P700" s="178"/>
      <c r="Q700" s="178"/>
      <c r="R700" s="178"/>
      <c r="S700" s="178"/>
      <c r="T700" s="178"/>
      <c r="U700" s="178"/>
      <c r="V700" s="410"/>
      <c r="Z700" s="178"/>
      <c r="AA700" s="178"/>
      <c r="AB700" s="178"/>
      <c r="AC700" s="178"/>
      <c r="AD700" s="127"/>
      <c r="AE700" s="178"/>
      <c r="AF700" s="178"/>
      <c r="AG700" s="178"/>
      <c r="AH700" s="178"/>
      <c r="AI700" s="178"/>
      <c r="AJ700" s="178"/>
      <c r="AK700" s="178"/>
      <c r="AL700" s="178"/>
      <c r="AM700" s="178"/>
      <c r="AN700" s="178"/>
      <c r="AO700" s="178"/>
      <c r="AP700" s="178"/>
      <c r="AQ700" s="178"/>
      <c r="AR700" s="178"/>
      <c r="AS700" s="178"/>
    </row>
    <row r="701" spans="1:45" x14ac:dyDescent="0.4">
      <c r="V701" s="162"/>
    </row>
    <row r="702" spans="1:45" x14ac:dyDescent="0.4">
      <c r="V702" s="162"/>
    </row>
    <row r="703" spans="1:45" x14ac:dyDescent="0.4">
      <c r="V703" s="162"/>
    </row>
    <row r="704" spans="1:45" x14ac:dyDescent="0.4">
      <c r="V704" s="162"/>
    </row>
    <row r="705" spans="22:22" x14ac:dyDescent="0.4">
      <c r="V705" s="162"/>
    </row>
    <row r="706" spans="22:22" x14ac:dyDescent="0.4">
      <c r="V706" s="162"/>
    </row>
    <row r="707" spans="22:22" x14ac:dyDescent="0.4">
      <c r="V707" s="162"/>
    </row>
    <row r="708" spans="22:22" x14ac:dyDescent="0.4">
      <c r="V708" s="162"/>
    </row>
    <row r="709" spans="22:22" x14ac:dyDescent="0.4">
      <c r="V709" s="162"/>
    </row>
    <row r="710" spans="22:22" x14ac:dyDescent="0.4">
      <c r="V710" s="162"/>
    </row>
    <row r="711" spans="22:22" x14ac:dyDescent="0.4">
      <c r="V711" s="162"/>
    </row>
    <row r="712" spans="22:22" x14ac:dyDescent="0.4">
      <c r="V712" s="162"/>
    </row>
    <row r="713" spans="22:22" x14ac:dyDescent="0.4">
      <c r="V713" s="162"/>
    </row>
    <row r="714" spans="22:22" x14ac:dyDescent="0.4">
      <c r="V714" s="162"/>
    </row>
    <row r="715" spans="22:22" x14ac:dyDescent="0.4">
      <c r="V715" s="162"/>
    </row>
    <row r="716" spans="22:22" x14ac:dyDescent="0.4">
      <c r="V716" s="162"/>
    </row>
    <row r="717" spans="22:22" x14ac:dyDescent="0.4">
      <c r="V717" s="162"/>
    </row>
    <row r="718" spans="22:22" x14ac:dyDescent="0.4">
      <c r="V718" s="162"/>
    </row>
    <row r="719" spans="22:22" x14ac:dyDescent="0.4">
      <c r="V719" s="162"/>
    </row>
    <row r="720" spans="22:22" x14ac:dyDescent="0.4">
      <c r="V720" s="162"/>
    </row>
    <row r="721" spans="1:45" x14ac:dyDescent="0.4">
      <c r="V721" s="162"/>
    </row>
    <row r="722" spans="1:45" x14ac:dyDescent="0.4">
      <c r="V722" s="162"/>
    </row>
    <row r="723" spans="1:45" x14ac:dyDescent="0.4">
      <c r="V723" s="162"/>
    </row>
    <row r="724" spans="1:45" s="52" customFormat="1" ht="81.75" customHeight="1" x14ac:dyDescent="0.4">
      <c r="A724" s="656"/>
      <c r="B724" s="656"/>
      <c r="C724" s="656"/>
      <c r="E724" s="666" t="s">
        <v>14</v>
      </c>
      <c r="F724" s="99"/>
      <c r="G724" s="99"/>
      <c r="H724" s="99"/>
      <c r="I724" s="99"/>
      <c r="J724" s="99"/>
      <c r="K724" s="99"/>
      <c r="L724" s="99"/>
      <c r="M724" s="99"/>
      <c r="N724" s="99"/>
      <c r="O724" s="99"/>
      <c r="P724" s="99"/>
      <c r="Q724" s="99"/>
      <c r="R724" s="99"/>
      <c r="S724" s="99"/>
      <c r="T724" s="99"/>
      <c r="U724" s="99"/>
      <c r="V724" s="422"/>
      <c r="Y724" s="52" t="s">
        <v>165</v>
      </c>
      <c r="Z724" s="99"/>
      <c r="AA724" s="99"/>
      <c r="AB724" s="99"/>
      <c r="AC724" s="99"/>
      <c r="AD724" s="99"/>
      <c r="AE724" s="99"/>
      <c r="AF724" s="99"/>
      <c r="AG724" s="99"/>
      <c r="AH724" s="99"/>
      <c r="AI724" s="99"/>
      <c r="AJ724" s="99"/>
      <c r="AK724" s="99"/>
      <c r="AL724" s="99"/>
      <c r="AM724" s="99"/>
      <c r="AN724" s="99"/>
      <c r="AO724" s="99"/>
      <c r="AP724" s="99"/>
      <c r="AQ724" s="99"/>
      <c r="AR724" s="99"/>
      <c r="AS724" s="99"/>
    </row>
    <row r="725" spans="1:45" s="21" customFormat="1" x14ac:dyDescent="0.4">
      <c r="A725" s="27"/>
      <c r="B725" s="645"/>
      <c r="C725" s="645"/>
      <c r="D725" s="131" t="s">
        <v>44</v>
      </c>
      <c r="F725" s="178"/>
      <c r="G725" s="178"/>
      <c r="H725" s="127"/>
      <c r="I725" s="178"/>
      <c r="J725" s="178"/>
      <c r="K725" s="178"/>
      <c r="L725" s="178"/>
      <c r="M725" s="178"/>
      <c r="N725" s="178"/>
      <c r="O725" s="178"/>
      <c r="P725" s="178"/>
      <c r="Q725" s="178"/>
      <c r="R725" s="178"/>
      <c r="S725" s="178"/>
      <c r="T725" s="178"/>
      <c r="U725" s="178"/>
      <c r="V725" s="410"/>
      <c r="Z725" s="178"/>
      <c r="AA725" s="178"/>
      <c r="AB725" s="178"/>
      <c r="AC725" s="178"/>
      <c r="AD725" s="178"/>
      <c r="AE725" s="178"/>
      <c r="AF725" s="178"/>
      <c r="AG725" s="178"/>
      <c r="AH725" s="178"/>
      <c r="AI725" s="178"/>
      <c r="AJ725" s="178"/>
      <c r="AK725" s="178"/>
      <c r="AL725" s="178"/>
      <c r="AM725" s="178"/>
      <c r="AN725" s="178"/>
      <c r="AO725" s="178"/>
      <c r="AP725" s="178"/>
      <c r="AQ725" s="178"/>
      <c r="AR725" s="178"/>
      <c r="AS725" s="178"/>
    </row>
    <row r="726" spans="1:45" ht="47.4" customHeight="1" x14ac:dyDescent="0.4">
      <c r="D726" s="123"/>
      <c r="E726" s="1433" t="str">
        <f>"STAÐAN ÁRIÐ "&amp;$A$1</f>
        <v>STAÐAN ÁRIÐ 2025</v>
      </c>
      <c r="F726" s="558"/>
      <c r="G726" s="558"/>
      <c r="H726" s="558"/>
      <c r="I726" s="558"/>
      <c r="J726" s="558"/>
      <c r="K726" s="558"/>
      <c r="L726" s="558"/>
      <c r="M726" s="558"/>
      <c r="O726" s="1433" t="str">
        <f>$O$5</f>
        <v>FRAMTÍÐARHORFUR</v>
      </c>
      <c r="P726" s="1435" t="str">
        <f>$P$5</f>
        <v>Áætluð breyting í losun út frá
sviðsmynd byggð á aðgerðum stjórvalda</v>
      </c>
      <c r="Q726" s="1436"/>
      <c r="R726" s="1436"/>
      <c r="S726" s="1436"/>
      <c r="V726" s="162"/>
      <c r="Y726" s="1433" t="str">
        <f>$Y$5</f>
        <v>2025 EMISSIONS</v>
      </c>
      <c r="Z726" s="558"/>
      <c r="AA726" s="558"/>
      <c r="AB726" s="558"/>
      <c r="AC726" s="558"/>
      <c r="AD726" s="558"/>
      <c r="AE726" s="558"/>
      <c r="AF726" s="558"/>
      <c r="AG726" s="558"/>
      <c r="AI726" s="1433" t="str">
        <f>$AI$5</f>
        <v>OUTLOOKS</v>
      </c>
      <c r="AJ726" s="1435" t="str">
        <f>$AJ$5</f>
        <v>Estimated change in emissions based on
government policy-based scenario</v>
      </c>
      <c r="AK726" s="1436"/>
      <c r="AL726" s="1436"/>
      <c r="AM726" s="1437"/>
    </row>
    <row r="727" spans="1:45" s="21" customFormat="1" ht="16.95" customHeight="1" x14ac:dyDescent="0.4">
      <c r="A727" s="27"/>
      <c r="B727" s="645"/>
      <c r="C727" s="645"/>
      <c r="D727" s="131" t="s">
        <v>44</v>
      </c>
      <c r="E727" s="1433"/>
      <c r="F727" s="1438" t="str">
        <f>"Losun "&amp;$A$1</f>
        <v>Losun 2025</v>
      </c>
      <c r="G727" s="1439"/>
      <c r="H727" s="1440" t="str">
        <f>"Breyting frá "&amp;$B$3</f>
        <v>Breyting frá 2024</v>
      </c>
      <c r="I727" s="1439"/>
      <c r="J727" s="1440" t="str">
        <f>"Breyting frá "&amp;$B$2</f>
        <v>Breyting frá 2005</v>
      </c>
      <c r="K727" s="1439"/>
      <c r="L727" s="1440" t="str">
        <f>"Breyting frá "&amp;$B$1</f>
        <v>Breyting frá 1990</v>
      </c>
      <c r="M727" s="1438"/>
      <c r="N727" s="127"/>
      <c r="O727" s="1433"/>
      <c r="P727" s="1440" t="s">
        <v>342</v>
      </c>
      <c r="Q727" s="1439"/>
      <c r="R727" s="1440" t="s">
        <v>343</v>
      </c>
      <c r="S727" s="1438"/>
      <c r="T727" s="178"/>
      <c r="U727" s="178"/>
      <c r="V727" s="410"/>
      <c r="Y727" s="1433"/>
      <c r="Z727" s="1441" t="str">
        <f>$Z$6</f>
        <v>Emissions in 2025</v>
      </c>
      <c r="AA727" s="1439"/>
      <c r="AB727" s="1440" t="str">
        <f>$AB$6</f>
        <v>Change from 2024</v>
      </c>
      <c r="AC727" s="1439"/>
      <c r="AD727" s="1440" t="str">
        <f>$AD$6</f>
        <v>Change from 2005</v>
      </c>
      <c r="AE727" s="1439"/>
      <c r="AF727" s="1440" t="str">
        <f>$AF$6</f>
        <v>Change from 1990</v>
      </c>
      <c r="AG727" s="1438"/>
      <c r="AH727" s="127"/>
      <c r="AI727" s="1433"/>
      <c r="AJ727" s="1441" t="str">
        <f>$AJ$6</f>
        <v>2030 compared to 2005</v>
      </c>
      <c r="AK727" s="1439"/>
      <c r="AL727" s="1440" t="str">
        <f>$AL$6</f>
        <v>2055 compared to 1990</v>
      </c>
      <c r="AM727" s="1439"/>
      <c r="AN727" s="178"/>
      <c r="AO727" s="178"/>
      <c r="AP727" s="178"/>
      <c r="AQ727" s="178"/>
      <c r="AR727" s="178"/>
      <c r="AS727" s="178"/>
    </row>
    <row r="728" spans="1:45" s="21" customFormat="1" ht="17.399999999999999" customHeight="1" thickBot="1" x14ac:dyDescent="0.45">
      <c r="A728" s="27"/>
      <c r="B728" s="645"/>
      <c r="C728" s="645"/>
      <c r="D728" s="131" t="s">
        <v>44</v>
      </c>
      <c r="E728" s="1434"/>
      <c r="F728" s="559" t="s">
        <v>351</v>
      </c>
      <c r="G728" s="560" t="s">
        <v>4</v>
      </c>
      <c r="H728" s="559" t="str">
        <f>$F$7</f>
        <v>Þús. tonn CO₂-íg.</v>
      </c>
      <c r="I728" s="560" t="s">
        <v>4</v>
      </c>
      <c r="J728" s="559" t="str">
        <f>$F$7</f>
        <v>Þús. tonn CO₂-íg.</v>
      </c>
      <c r="K728" s="560" t="s">
        <v>4</v>
      </c>
      <c r="L728" s="559" t="str">
        <f>$F$7</f>
        <v>Þús. tonn CO₂-íg.</v>
      </c>
      <c r="M728" s="559" t="s">
        <v>4</v>
      </c>
      <c r="N728" s="127"/>
      <c r="O728" s="1434"/>
      <c r="P728" s="559" t="str">
        <f>$F$7</f>
        <v>Þús. tonn CO₂-íg.</v>
      </c>
      <c r="Q728" s="560" t="s">
        <v>4</v>
      </c>
      <c r="R728" s="559" t="str">
        <f>$F$7</f>
        <v>Þús. tonn CO₂-íg.</v>
      </c>
      <c r="S728" s="559" t="s">
        <v>4</v>
      </c>
      <c r="T728" s="178"/>
      <c r="U728" s="178"/>
      <c r="V728" s="410"/>
      <c r="Y728" s="1434"/>
      <c r="Z728" s="559" t="str">
        <f>$Z$7</f>
        <v>Thousand tons CO₂e</v>
      </c>
      <c r="AA728" s="560" t="s">
        <v>4</v>
      </c>
      <c r="AB728" s="559" t="str">
        <f>$Z$7</f>
        <v>Thousand tons CO₂e</v>
      </c>
      <c r="AC728" s="560" t="s">
        <v>4</v>
      </c>
      <c r="AD728" s="559" t="str">
        <f>$F$7</f>
        <v>Þús. tonn CO₂-íg.</v>
      </c>
      <c r="AE728" s="560" t="s">
        <v>4</v>
      </c>
      <c r="AF728" s="559" t="str">
        <f>$Z$7</f>
        <v>Thousand tons CO₂e</v>
      </c>
      <c r="AG728" s="559" t="s">
        <v>4</v>
      </c>
      <c r="AH728" s="127"/>
      <c r="AI728" s="1434"/>
      <c r="AJ728" s="559" t="str">
        <f>$Z$7</f>
        <v>Thousand tons CO₂e</v>
      </c>
      <c r="AK728" s="560" t="s">
        <v>4</v>
      </c>
      <c r="AL728" s="559" t="str">
        <f>$Z$7</f>
        <v>Thousand tons CO₂e</v>
      </c>
      <c r="AM728" s="559" t="s">
        <v>4</v>
      </c>
      <c r="AN728" s="178"/>
      <c r="AO728" s="178"/>
      <c r="AP728" s="178"/>
      <c r="AQ728" s="178"/>
      <c r="AR728" s="178"/>
      <c r="AS728" s="178"/>
    </row>
    <row r="729" spans="1:45" s="21" customFormat="1" ht="21" customHeight="1" thickTop="1" x14ac:dyDescent="0.4">
      <c r="A729" s="27" t="s">
        <v>64</v>
      </c>
      <c r="B729" s="27" t="s">
        <v>287</v>
      </c>
      <c r="C729" s="27" t="s">
        <v>291</v>
      </c>
      <c r="D729" s="131" t="s">
        <v>44</v>
      </c>
      <c r="E729" s="562" t="str">
        <f>'Talnagögn | Numerical Data'!$E$230</f>
        <v>Urðun úrgangs</v>
      </c>
      <c r="F729" s="555" cm="1">
        <f t="array" ref="F729">INDEX('Talnagögn | Numerical Data'!$1:$1048576,_xlfn.XMATCH($A729,'Talnagögn | Numerical Data'!$B:$B),_xlfn.XMATCH($A$1,'Talnagögn | Numerical Data'!$1:$1))</f>
        <v>185.03247377735417</v>
      </c>
      <c r="G729" s="566">
        <f>$F$729/$F$733</f>
        <v>0.83126327053667826</v>
      </c>
      <c r="H729" s="556" cm="1">
        <f t="array" ref="H729">INDEX('Talnagögn | Numerical Data'!$1:$1048576,_xlfn.XMATCH($A729,'Talnagögn | Numerical Data'!$B:$B),_xlfn.XMATCH($A$1,'Talnagögn | Numerical Data'!$1:$1))-INDEX('Talnagögn | Numerical Data'!$1:$1048576,_xlfn.XMATCH($A729,'Talnagögn | Numerical Data'!$B:$B),_xlfn.XMATCH($B$3,'Talnagögn | Numerical Data'!$1:$1))</f>
        <v>-17.928633038629101</v>
      </c>
      <c r="I729" s="568" cm="1">
        <f t="array" ref="I729">INDEX('Talnagögn | Numerical Data'!$1:$1048576,_xlfn.XMATCH($A729,'Talnagögn | Numerical Data'!$B:$B),_xlfn.XMATCH($A$1,'Talnagögn | Numerical Data'!$1:$1))/INDEX('Talnagögn | Numerical Data'!$1:$1048576,_xlfn.XMATCH($A729,'Talnagögn | Numerical Data'!$B:$B),_xlfn.XMATCH($B$3,'Talnagögn | Numerical Data'!$1:$1))-1</f>
        <v>-8.8335313695762752E-2</v>
      </c>
      <c r="J729" s="556" cm="1">
        <f t="array" ref="J729">INDEX('Talnagögn | Numerical Data'!$1:$1048576,_xlfn.XMATCH($A729,'Talnagögn | Numerical Data'!$B:$B),_xlfn.XMATCH($A$1,'Talnagögn | Numerical Data'!$1:$1))-INDEX('Talnagögn | Numerical Data'!$1:$1048576,_xlfn.XMATCH($A729,'Talnagögn | Numerical Data'!$B:$B),_xlfn.XMATCH($B$2,'Talnagögn | Numerical Data'!$1:$1))</f>
        <v>-99.715604428874968</v>
      </c>
      <c r="K729" s="566" cm="1">
        <f t="array" ref="K729">INDEX('Talnagögn | Numerical Data'!$1:$1048576,_xlfn.XMATCH($A729,'Talnagögn | Numerical Data'!$B:$B),_xlfn.XMATCH($A$1,'Talnagögn | Numerical Data'!$1:$1))/INDEX('Talnagögn | Numerical Data'!$1:$1048576,_xlfn.XMATCH($A729,'Talnagögn | Numerical Data'!$B:$B),_xlfn.XMATCH($B$2,'Talnagögn | Numerical Data'!$1:$1))-1</f>
        <v>-0.35018885836572999</v>
      </c>
      <c r="L729" s="565" cm="1">
        <f t="array" ref="L729">INDEX('Talnagögn | Numerical Data'!$1:$1048576,_xlfn.XMATCH($A729,'Talnagögn | Numerical Data'!$B:$B),_xlfn.XMATCH($A$1,'Talnagögn | Numerical Data'!$1:$1))-INDEX('Talnagögn | Numerical Data'!$1:$1048576,_xlfn.XMATCH($A729,'Talnagögn | Numerical Data'!$B:$B),_xlfn.XMATCH($B$1,'Talnagögn | Numerical Data'!$1:$1))</f>
        <v>9.0114899750955431</v>
      </c>
      <c r="M729" s="598" cm="1">
        <f t="array" ref="M729">INDEX('Talnagögn | Numerical Data'!$1:$1048576,_xlfn.XMATCH($A729,'Talnagögn | Numerical Data'!$B:$B),_xlfn.XMATCH($A$1,'Talnagögn | Numerical Data'!$1:$1))/INDEX('Talnagögn | Numerical Data'!$1:$1048576,_xlfn.XMATCH($A729,'Talnagögn | Numerical Data'!$B:$B),_xlfn.XMATCH($B$1,'Talnagögn | Numerical Data'!$1:$1))-1</f>
        <v>5.1195543738234095E-2</v>
      </c>
      <c r="N729" s="178"/>
      <c r="O729" s="562" t="str">
        <f>'Talnagögn | Numerical Data'!$E$230</f>
        <v>Urðun úrgangs</v>
      </c>
      <c r="P729" s="556" cm="1">
        <f t="array" ref="P729">INDEX('Talnagögn | Numerical Data'!$1:$1048576,_xlfn.XMATCH($B729,'Talnagögn | Numerical Data'!$C:$C),_xlfn.XMATCH($B$4,'Talnagögn | Numerical Data'!$1:$1))-INDEX('Talnagögn | Numerical Data'!$1:$1048576,_xlfn.XMATCH($A729,'Talnagögn | Numerical Data'!$B:$B),_xlfn.XMATCH($B$2,'Talnagögn | Numerical Data'!$1:$1))</f>
        <v>-164.97997512647248</v>
      </c>
      <c r="Q729" s="566" cm="1">
        <f t="array" ref="Q729">INDEX('Talnagögn | Numerical Data'!$1:$1048576,_xlfn.XMATCH($B729,'Talnagögn | Numerical Data'!$C:$C),_xlfn.XMATCH($B$4,'Talnagögn | Numerical Data'!$1:$1))/INDEX('Talnagögn | Numerical Data'!$1:$1048576,_xlfn.XMATCH($A729,'Talnagögn | Numerical Data'!$B:$B),_xlfn.XMATCH($B$2,'Talnagögn | Numerical Data'!$1:$1))-1</f>
        <v>-0.57938924879059428</v>
      </c>
      <c r="R729" s="556" cm="1">
        <f t="array" ref="R729">INDEX('Talnagögn | Numerical Data'!$1:$1048576,_xlfn.XMATCH($B729,'Talnagögn | Numerical Data'!$C:$C),_xlfn.XMATCH($B$5,'Talnagögn | Numerical Data'!$1:$1))-INDEX('Talnagögn | Numerical Data'!$1:$1048576,_xlfn.XMATCH($A729,'Talnagögn | Numerical Data'!$B:$B),_xlfn.XMATCH($B$1,'Talnagögn | Numerical Data'!$1:$1))</f>
        <v>-156.47320259433363</v>
      </c>
      <c r="S729" s="597" cm="1">
        <f t="array" ref="S729">INDEX('Talnagögn | Numerical Data'!$1:$1048576,_xlfn.XMATCH($B729,'Talnagögn | Numerical Data'!$C:$C),_xlfn.XMATCH($B$5,'Talnagögn | Numerical Data'!$1:$1))/INDEX('Talnagögn | Numerical Data'!$1:$1048576,_xlfn.XMATCH($A729,'Talnagögn | Numerical Data'!$B:$B),_xlfn.XMATCH($B$1,'Talnagögn | Numerical Data'!$1:$1))-1</f>
        <v>-0.88894630182339562</v>
      </c>
      <c r="V729" s="423"/>
      <c r="Y729" s="562" t="str">
        <f>'Talnagögn | Numerical Data'!$G$230</f>
        <v>Solid Waste Disposal on Land</v>
      </c>
      <c r="Z729" s="555" cm="1">
        <f t="array" ref="Z729">INDEX('Talnagögn | Numerical Data'!$1:$1048576,_xlfn.XMATCH($A729,'Talnagögn | Numerical Data'!$B:$B),_xlfn.XMATCH($A$1,'Talnagögn | Numerical Data'!$1:$1))</f>
        <v>185.03247377735417</v>
      </c>
      <c r="AA729" s="566">
        <f>$F$729/$F$733</f>
        <v>0.83126327053667826</v>
      </c>
      <c r="AB729" s="556" cm="1">
        <f t="array" ref="AB729">INDEX('Talnagögn | Numerical Data'!$1:$1048576,_xlfn.XMATCH($A729,'Talnagögn | Numerical Data'!$B:$B),_xlfn.XMATCH($A$1,'Talnagögn | Numerical Data'!$1:$1))-INDEX('Talnagögn | Numerical Data'!$1:$1048576,_xlfn.XMATCH($A729,'Talnagögn | Numerical Data'!$B:$B),_xlfn.XMATCH($B$3,'Talnagögn | Numerical Data'!$1:$1))</f>
        <v>-17.928633038629101</v>
      </c>
      <c r="AC729" s="568" cm="1">
        <f t="array" ref="AC729">INDEX('Talnagögn | Numerical Data'!$1:$1048576,_xlfn.XMATCH($A729,'Talnagögn | Numerical Data'!$B:$B),_xlfn.XMATCH($A$1,'Talnagögn | Numerical Data'!$1:$1))/INDEX('Talnagögn | Numerical Data'!$1:$1048576,_xlfn.XMATCH($A729,'Talnagögn | Numerical Data'!$B:$B),_xlfn.XMATCH($B$3,'Talnagögn | Numerical Data'!$1:$1))-1</f>
        <v>-8.8335313695762752E-2</v>
      </c>
      <c r="AD729" s="556" cm="1">
        <f t="array" ref="AD729">INDEX('Talnagögn | Numerical Data'!$1:$1048576,_xlfn.XMATCH($A729,'Talnagögn | Numerical Data'!$B:$B),_xlfn.XMATCH($A$1,'Talnagögn | Numerical Data'!$1:$1))-INDEX('Talnagögn | Numerical Data'!$1:$1048576,_xlfn.XMATCH($A729,'Talnagögn | Numerical Data'!$B:$B),_xlfn.XMATCH($B$2,'Talnagögn | Numerical Data'!$1:$1))</f>
        <v>-99.715604428874968</v>
      </c>
      <c r="AE729" s="566" cm="1">
        <f t="array" ref="AE729">INDEX('Talnagögn | Numerical Data'!$1:$1048576,_xlfn.XMATCH($A729,'Talnagögn | Numerical Data'!$B:$B),_xlfn.XMATCH($A$1,'Talnagögn | Numerical Data'!$1:$1))/INDEX('Talnagögn | Numerical Data'!$1:$1048576,_xlfn.XMATCH($A729,'Talnagögn | Numerical Data'!$B:$B),_xlfn.XMATCH($B$2,'Talnagögn | Numerical Data'!$1:$1))-1</f>
        <v>-0.35018885836572999</v>
      </c>
      <c r="AF729" s="565" cm="1">
        <f t="array" ref="AF729">INDEX('Talnagögn | Numerical Data'!$1:$1048576,_xlfn.XMATCH($A729,'Talnagögn | Numerical Data'!$B:$B),_xlfn.XMATCH($A$1,'Talnagögn | Numerical Data'!$1:$1))-INDEX('Talnagögn | Numerical Data'!$1:$1048576,_xlfn.XMATCH($A729,'Talnagögn | Numerical Data'!$B:$B),_xlfn.XMATCH($B$1,'Talnagögn | Numerical Data'!$1:$1))</f>
        <v>9.0114899750955431</v>
      </c>
      <c r="AG729" s="598" cm="1">
        <f t="array" ref="AG729">INDEX('Talnagögn | Numerical Data'!$1:$1048576,_xlfn.XMATCH($A729,'Talnagögn | Numerical Data'!$B:$B),_xlfn.XMATCH($A$1,'Talnagögn | Numerical Data'!$1:$1))/INDEX('Talnagögn | Numerical Data'!$1:$1048576,_xlfn.XMATCH($A729,'Talnagögn | Numerical Data'!$B:$B),_xlfn.XMATCH($B$1,'Talnagögn | Numerical Data'!$1:$1))-1</f>
        <v>5.1195543738234095E-2</v>
      </c>
      <c r="AH729" s="178"/>
      <c r="AI729" s="562" t="str">
        <f>'Talnagögn | Numerical Data'!$G$230</f>
        <v>Solid Waste Disposal on Land</v>
      </c>
      <c r="AJ729" s="556" cm="1">
        <f t="array" ref="AJ729">INDEX('Talnagögn | Numerical Data'!$1:$1048576,_xlfn.XMATCH($B729,'Talnagögn | Numerical Data'!$C:$C),_xlfn.XMATCH($B$4,'Talnagögn | Numerical Data'!$1:$1))-INDEX('Talnagögn | Numerical Data'!$1:$1048576,_xlfn.XMATCH($A729,'Talnagögn | Numerical Data'!$B:$B),_xlfn.XMATCH($B$2,'Talnagögn | Numerical Data'!$1:$1))</f>
        <v>-164.97997512647248</v>
      </c>
      <c r="AK729" s="566" cm="1">
        <f t="array" ref="AK729">INDEX('Talnagögn | Numerical Data'!$1:$1048576,_xlfn.XMATCH($B729,'Talnagögn | Numerical Data'!$C:$C),_xlfn.XMATCH($B$4,'Talnagögn | Numerical Data'!$1:$1))/INDEX('Talnagögn | Numerical Data'!$1:$1048576,_xlfn.XMATCH($A729,'Talnagögn | Numerical Data'!$B:$B),_xlfn.XMATCH($B$2,'Talnagögn | Numerical Data'!$1:$1))-1</f>
        <v>-0.57938924879059428</v>
      </c>
      <c r="AL729" s="556" cm="1">
        <f t="array" ref="AL729">INDEX('Talnagögn | Numerical Data'!$1:$1048576,_xlfn.XMATCH($B729,'Talnagögn | Numerical Data'!$C:$C),_xlfn.XMATCH($B$5,'Talnagögn | Numerical Data'!$1:$1))-INDEX('Talnagögn | Numerical Data'!$1:$1048576,_xlfn.XMATCH($A729,'Talnagögn | Numerical Data'!$B:$B),_xlfn.XMATCH($B$1,'Talnagögn | Numerical Data'!$1:$1))</f>
        <v>-156.47320259433363</v>
      </c>
      <c r="AM729" s="597" cm="1">
        <f t="array" ref="AM729">INDEX('Talnagögn | Numerical Data'!$1:$1048576,_xlfn.XMATCH($B729,'Talnagögn | Numerical Data'!$C:$C),_xlfn.XMATCH($B$5,'Talnagögn | Numerical Data'!$1:$1))/INDEX('Talnagögn | Numerical Data'!$1:$1048576,_xlfn.XMATCH($A729,'Talnagögn | Numerical Data'!$B:$B),_xlfn.XMATCH($B$1,'Talnagögn | Numerical Data'!$1:$1))-1</f>
        <v>-0.88894630182339562</v>
      </c>
    </row>
    <row r="730" spans="1:45" s="21" customFormat="1" ht="21" customHeight="1" x14ac:dyDescent="0.4">
      <c r="A730" s="27" t="s">
        <v>65</v>
      </c>
      <c r="B730" s="27" t="s">
        <v>288</v>
      </c>
      <c r="C730" s="27" t="s">
        <v>292</v>
      </c>
      <c r="D730" s="131" t="s">
        <v>44</v>
      </c>
      <c r="E730" s="563" t="str">
        <f>'Talnagögn | Numerical Data'!$E$231</f>
        <v>Jarðgerð</v>
      </c>
      <c r="F730" s="561" cm="1">
        <f t="array" ref="F730">INDEX('Talnagögn | Numerical Data'!$1:$1048576,_xlfn.XMATCH($A730,'Talnagögn | Numerical Data'!$B:$B),_xlfn.XMATCH($A$1,'Talnagögn | Numerical Data'!$1:$1))</f>
        <v>6.035782317557894</v>
      </c>
      <c r="G730" s="567">
        <f>$F$730/$F$733</f>
        <v>2.7115911316074555E-2</v>
      </c>
      <c r="H730" s="564" cm="1">
        <f t="array" ref="H730">INDEX('Talnagögn | Numerical Data'!$1:$1048576,_xlfn.XMATCH($A730,'Talnagögn | Numerical Data'!$B:$B),_xlfn.XMATCH($A$1,'Talnagögn | Numerical Data'!$1:$1))-INDEX('Talnagögn | Numerical Data'!$1:$1048576,_xlfn.XMATCH($A730,'Talnagögn | Numerical Data'!$B:$B),_xlfn.XMATCH($B$3,'Talnagögn | Numerical Data'!$1:$1))</f>
        <v>-0.44831319810525816</v>
      </c>
      <c r="I730" s="567" cm="1">
        <f t="array" ref="I730">INDEX('Talnagögn | Numerical Data'!$1:$1048576,_xlfn.XMATCH($A730,'Talnagögn | Numerical Data'!$B:$B),_xlfn.XMATCH($A$1,'Talnagögn | Numerical Data'!$1:$1))/INDEX('Talnagögn | Numerical Data'!$1:$1048576,_xlfn.XMATCH($A730,'Talnagögn | Numerical Data'!$B:$B),_xlfn.XMATCH($B$3,'Talnagögn | Numerical Data'!$1:$1))-1</f>
        <v>-6.9140437092930052E-2</v>
      </c>
      <c r="J730" s="565" cm="1">
        <f t="array" ref="J730">INDEX('Talnagögn | Numerical Data'!$1:$1048576,_xlfn.XMATCH($A730,'Talnagögn | Numerical Data'!$B:$B),_xlfn.XMATCH($A$1,'Talnagögn | Numerical Data'!$1:$1))-INDEX('Talnagögn | Numerical Data'!$1:$1048576,_xlfn.XMATCH($A730,'Talnagögn | Numerical Data'!$B:$B),_xlfn.XMATCH($B$2,'Talnagögn | Numerical Data'!$1:$1))</f>
        <v>5.1577823175578938</v>
      </c>
      <c r="K730" s="569" cm="1">
        <f t="array" ref="K730">INDEX('Talnagögn | Numerical Data'!$1:$1048576,_xlfn.XMATCH($A730,'Talnagögn | Numerical Data'!$B:$B),_xlfn.XMATCH($A$1,'Talnagögn | Numerical Data'!$1:$1))/INDEX('Talnagögn | Numerical Data'!$1:$1048576,_xlfn.XMATCH($A730,'Talnagögn | Numerical Data'!$B:$B),_xlfn.XMATCH($B$2,'Talnagögn | Numerical Data'!$1:$1))-1</f>
        <v>5.8744673320704939</v>
      </c>
      <c r="L730" s="565" cm="1">
        <f t="array" ref="L730">INDEX('Talnagögn | Numerical Data'!$1:$1048576,_xlfn.XMATCH($A730,'Talnagögn | Numerical Data'!$B:$B),_xlfn.XMATCH($A$1,'Talnagögn | Numerical Data'!$1:$1))-INDEX('Talnagögn | Numerical Data'!$1:$1048576,_xlfn.XMATCH($A730,'Talnagögn | Numerical Data'!$B:$B),_xlfn.XMATCH($B$1,'Talnagögn | Numerical Data'!$1:$1))</f>
        <v>6.035782317557894</v>
      </c>
      <c r="M730" s="557" t="str" cm="1">
        <f t="array" ref="M730">IFERROR((INDEX('Talnagögn | Numerical Data'!$1:$1048576,_xlfn.XMATCH($A730,'Talnagögn | Numerical Data'!$B:$B),_xlfn.XMATCH($A$1,'Talnagögn | Numerical Data'!$1:$1))/INDEX('Talnagögn | Numerical Data'!$1:$1048576,_xlfn.XMATCH($A730,'Talnagögn | Numerical Data'!$B:$B),_xlfn.XMATCH($B$1,'Talnagögn | Numerical Data'!$1:$1))-1),"─")</f>
        <v>─</v>
      </c>
      <c r="N730" s="178"/>
      <c r="O730" s="563" t="str">
        <f>'Talnagögn | Numerical Data'!$E$231</f>
        <v>Jarðgerð</v>
      </c>
      <c r="P730" s="565" cm="1">
        <f t="array" ref="P730">INDEX('Talnagögn | Numerical Data'!$1:$1048576,_xlfn.XMATCH($B730,'Talnagögn | Numerical Data'!$C:$C),_xlfn.XMATCH($B$4,'Talnagögn | Numerical Data'!$1:$1))-INDEX('Talnagögn | Numerical Data'!$1:$1048576,_xlfn.XMATCH($A730,'Talnagögn | Numerical Data'!$B:$B),_xlfn.XMATCH($B$2,'Talnagögn | Numerical Data'!$1:$1))</f>
        <v>6.1758734347893629</v>
      </c>
      <c r="Q730" s="569" cm="1">
        <f t="array" ref="Q730">INDEX('Talnagögn | Numerical Data'!$1:$1048576,_xlfn.XMATCH($B730,'Talnagögn | Numerical Data'!$C:$C),_xlfn.XMATCH($B$4,'Talnagögn | Numerical Data'!$1:$1))/INDEX('Talnagögn | Numerical Data'!$1:$1048576,_xlfn.XMATCH($A730,'Talnagögn | Numerical Data'!$B:$B),_xlfn.XMATCH($B$2,'Talnagögn | Numerical Data'!$1:$1))-1</f>
        <v>7.0340244131997309</v>
      </c>
      <c r="R730" s="555" cm="1">
        <f t="array" ref="R730">INDEX('Talnagögn | Numerical Data'!$1:$1048576,_xlfn.XMATCH($B730,'Talnagögn | Numerical Data'!$C:$C),_xlfn.XMATCH($B$5,'Talnagögn | Numerical Data'!$1:$1))-INDEX('Talnagögn | Numerical Data'!$1:$1048576,_xlfn.XMATCH($A730,'Talnagögn | Numerical Data'!$B:$B),_xlfn.XMATCH($B$1,'Talnagögn | Numerical Data'!$1:$1))</f>
        <v>10.586597017251847</v>
      </c>
      <c r="S730" s="598" t="str" cm="1">
        <f t="array" ref="S730">IFERROR(INDEX('Talnagögn | Numerical Data'!$1:$1048576,_xlfn.XMATCH($B730,'Talnagögn | Numerical Data'!$C:$C),_xlfn.XMATCH($B$5,'Talnagögn | Numerical Data'!$1:$1))/INDEX('Talnagögn | Numerical Data'!$1:$1048576,_xlfn.XMATCH($A730,'Talnagögn | Numerical Data'!$B:$B),_xlfn.XMATCH($B$1,'Talnagögn | Numerical Data'!$1:$1))-1,"─")</f>
        <v>─</v>
      </c>
      <c r="V730" s="423"/>
      <c r="Y730" s="563" t="str">
        <f>'Talnagögn | Numerical Data'!$G$231</f>
        <v>Biological Treatment of Solid Waste</v>
      </c>
      <c r="Z730" s="561" cm="1">
        <f t="array" ref="Z730">INDEX('Talnagögn | Numerical Data'!$1:$1048576,_xlfn.XMATCH($A730,'Talnagögn | Numerical Data'!$B:$B),_xlfn.XMATCH($A$1,'Talnagögn | Numerical Data'!$1:$1))</f>
        <v>6.035782317557894</v>
      </c>
      <c r="AA730" s="567">
        <f>$F$730/$F$733</f>
        <v>2.7115911316074555E-2</v>
      </c>
      <c r="AB730" s="564" cm="1">
        <f t="array" ref="AB730">INDEX('Talnagögn | Numerical Data'!$1:$1048576,_xlfn.XMATCH($A730,'Talnagögn | Numerical Data'!$B:$B),_xlfn.XMATCH($A$1,'Talnagögn | Numerical Data'!$1:$1))-INDEX('Talnagögn | Numerical Data'!$1:$1048576,_xlfn.XMATCH($A730,'Talnagögn | Numerical Data'!$B:$B),_xlfn.XMATCH($B$3,'Talnagögn | Numerical Data'!$1:$1))</f>
        <v>-0.44831319810525816</v>
      </c>
      <c r="AC730" s="567" cm="1">
        <f t="array" ref="AC730">INDEX('Talnagögn | Numerical Data'!$1:$1048576,_xlfn.XMATCH($A730,'Talnagögn | Numerical Data'!$B:$B),_xlfn.XMATCH($A$1,'Talnagögn | Numerical Data'!$1:$1))/INDEX('Talnagögn | Numerical Data'!$1:$1048576,_xlfn.XMATCH($A730,'Talnagögn | Numerical Data'!$B:$B),_xlfn.XMATCH($B$3,'Talnagögn | Numerical Data'!$1:$1))-1</f>
        <v>-6.9140437092930052E-2</v>
      </c>
      <c r="AD730" s="565" cm="1">
        <f t="array" ref="AD730">INDEX('Talnagögn | Numerical Data'!$1:$1048576,_xlfn.XMATCH($A730,'Talnagögn | Numerical Data'!$B:$B),_xlfn.XMATCH($A$1,'Talnagögn | Numerical Data'!$1:$1))-INDEX('Talnagögn | Numerical Data'!$1:$1048576,_xlfn.XMATCH($A730,'Talnagögn | Numerical Data'!$B:$B),_xlfn.XMATCH($B$2,'Talnagögn | Numerical Data'!$1:$1))</f>
        <v>5.1577823175578938</v>
      </c>
      <c r="AE730" s="569" cm="1">
        <f t="array" ref="AE730">INDEX('Talnagögn | Numerical Data'!$1:$1048576,_xlfn.XMATCH($A730,'Talnagögn | Numerical Data'!$B:$B),_xlfn.XMATCH($A$1,'Talnagögn | Numerical Data'!$1:$1))/INDEX('Talnagögn | Numerical Data'!$1:$1048576,_xlfn.XMATCH($A730,'Talnagögn | Numerical Data'!$B:$B),_xlfn.XMATCH($B$2,'Talnagögn | Numerical Data'!$1:$1))-1</f>
        <v>5.8744673320704939</v>
      </c>
      <c r="AF730" s="565" cm="1">
        <f t="array" ref="AF730">INDEX('Talnagögn | Numerical Data'!$1:$1048576,_xlfn.XMATCH($A730,'Talnagögn | Numerical Data'!$B:$B),_xlfn.XMATCH($A$1,'Talnagögn | Numerical Data'!$1:$1))-INDEX('Talnagögn | Numerical Data'!$1:$1048576,_xlfn.XMATCH($A730,'Talnagögn | Numerical Data'!$B:$B),_xlfn.XMATCH($B$1,'Talnagögn | Numerical Data'!$1:$1))</f>
        <v>6.035782317557894</v>
      </c>
      <c r="AG730" s="557" t="str" cm="1">
        <f t="array" ref="AG730">IFERROR((INDEX('Talnagögn | Numerical Data'!$1:$1048576,_xlfn.XMATCH($A730,'Talnagögn | Numerical Data'!$B:$B),_xlfn.XMATCH($A$1,'Talnagögn | Numerical Data'!$1:$1))/INDEX('Talnagögn | Numerical Data'!$1:$1048576,_xlfn.XMATCH($A730,'Talnagögn | Numerical Data'!$B:$B),_xlfn.XMATCH($B$1,'Talnagögn | Numerical Data'!$1:$1))-1),"─")</f>
        <v>─</v>
      </c>
      <c r="AH730" s="178"/>
      <c r="AI730" s="563" t="str">
        <f>'Talnagögn | Numerical Data'!$G$231</f>
        <v>Biological Treatment of Solid Waste</v>
      </c>
      <c r="AJ730" s="565" cm="1">
        <f t="array" ref="AJ730">INDEX('Talnagögn | Numerical Data'!$1:$1048576,_xlfn.XMATCH($B730,'Talnagögn | Numerical Data'!$C:$C),_xlfn.XMATCH($B$4,'Talnagögn | Numerical Data'!$1:$1))-INDEX('Talnagögn | Numerical Data'!$1:$1048576,_xlfn.XMATCH($A730,'Talnagögn | Numerical Data'!$B:$B),_xlfn.XMATCH($B$2,'Talnagögn | Numerical Data'!$1:$1))</f>
        <v>6.1758734347893629</v>
      </c>
      <c r="AK730" s="569" cm="1">
        <f t="array" ref="AK730">INDEX('Talnagögn | Numerical Data'!$1:$1048576,_xlfn.XMATCH($B730,'Talnagögn | Numerical Data'!$C:$C),_xlfn.XMATCH($B$4,'Talnagögn | Numerical Data'!$1:$1))/INDEX('Talnagögn | Numerical Data'!$1:$1048576,_xlfn.XMATCH($A730,'Talnagögn | Numerical Data'!$B:$B),_xlfn.XMATCH($B$2,'Talnagögn | Numerical Data'!$1:$1))-1</f>
        <v>7.0340244131997309</v>
      </c>
      <c r="AL730" s="555" cm="1">
        <f t="array" ref="AL730">INDEX('Talnagögn | Numerical Data'!$1:$1048576,_xlfn.XMATCH($B730,'Talnagögn | Numerical Data'!$C:$C),_xlfn.XMATCH($B$5,'Talnagögn | Numerical Data'!$1:$1))-INDEX('Talnagögn | Numerical Data'!$1:$1048576,_xlfn.XMATCH($A730,'Talnagögn | Numerical Data'!$B:$B),_xlfn.XMATCH($B$1,'Talnagögn | Numerical Data'!$1:$1))</f>
        <v>10.586597017251847</v>
      </c>
      <c r="AM730" s="598" t="str" cm="1">
        <f t="array" ref="AM730">IFERROR(INDEX('Talnagögn | Numerical Data'!$1:$1048576,_xlfn.XMATCH($B730,'Talnagögn | Numerical Data'!$C:$C),_xlfn.XMATCH($B$5,'Talnagögn | Numerical Data'!$1:$1))/INDEX('Talnagögn | Numerical Data'!$1:$1048576,_xlfn.XMATCH($A730,'Talnagögn | Numerical Data'!$B:$B),_xlfn.XMATCH($B$1,'Talnagögn | Numerical Data'!$1:$1))-1,"─")</f>
        <v>─</v>
      </c>
    </row>
    <row r="731" spans="1:45" s="21" customFormat="1" ht="21" customHeight="1" x14ac:dyDescent="0.4">
      <c r="A731" s="27" t="s">
        <v>66</v>
      </c>
      <c r="B731" s="27" t="s">
        <v>289</v>
      </c>
      <c r="C731" s="27" t="s">
        <v>293</v>
      </c>
      <c r="D731" s="131" t="s">
        <v>44</v>
      </c>
      <c r="E731" s="563" t="str">
        <f>'Talnagögn | Numerical Data'!$E$232</f>
        <v>Brennsla og opinn bruni</v>
      </c>
      <c r="F731" s="561" cm="1">
        <f t="array" ref="F731">INDEX('Talnagögn | Numerical Data'!$1:$1048576,_xlfn.XMATCH($A731,'Talnagögn | Numerical Data'!$B:$B),_xlfn.XMATCH($A$1,'Talnagögn | Numerical Data'!$1:$1))</f>
        <v>7.4483956660185804</v>
      </c>
      <c r="G731" s="567">
        <f>$F$731/$F$733</f>
        <v>3.3462114055914448E-2</v>
      </c>
      <c r="H731" s="564" cm="1">
        <f t="array" ref="H731">INDEX('Talnagögn | Numerical Data'!$1:$1048576,_xlfn.XMATCH($A731,'Talnagögn | Numerical Data'!$B:$B),_xlfn.XMATCH($A$1,'Talnagögn | Numerical Data'!$1:$1))-INDEX('Talnagögn | Numerical Data'!$1:$1048576,_xlfn.XMATCH($A731,'Talnagögn | Numerical Data'!$B:$B),_xlfn.XMATCH($B$3,'Talnagögn | Numerical Data'!$1:$1))</f>
        <v>-0.10400802417456845</v>
      </c>
      <c r="I731" s="567" cm="1">
        <f t="array" ref="I731">INDEX('Talnagögn | Numerical Data'!$1:$1048576,_xlfn.XMATCH($A731,'Talnagögn | Numerical Data'!$B:$B),_xlfn.XMATCH($A$1,'Talnagögn | Numerical Data'!$1:$1))/INDEX('Talnagögn | Numerical Data'!$1:$1048576,_xlfn.XMATCH($A731,'Talnagögn | Numerical Data'!$B:$B),_xlfn.XMATCH($B$3,'Talnagögn | Numerical Data'!$1:$1))-1</f>
        <v>-1.3771512811162845E-2</v>
      </c>
      <c r="J731" s="565" cm="1">
        <f t="array" ref="J731">INDEX('Talnagögn | Numerical Data'!$1:$1048576,_xlfn.XMATCH($A731,'Talnagögn | Numerical Data'!$B:$B),_xlfn.XMATCH($A$1,'Talnagögn | Numerical Data'!$1:$1))-INDEX('Talnagögn | Numerical Data'!$1:$1048576,_xlfn.XMATCH($A731,'Talnagögn | Numerical Data'!$B:$B),_xlfn.XMATCH($B$2,'Talnagögn | Numerical Data'!$1:$1))</f>
        <v>1.8910611189945907</v>
      </c>
      <c r="K731" s="569" cm="1">
        <f t="array" ref="K731">INDEX('Talnagögn | Numerical Data'!$1:$1048576,_xlfn.XMATCH($A731,'Talnagögn | Numerical Data'!$B:$B),_xlfn.XMATCH($A$1,'Talnagögn | Numerical Data'!$1:$1))/INDEX('Talnagögn | Numerical Data'!$1:$1048576,_xlfn.XMATCH($A731,'Talnagögn | Numerical Data'!$B:$B),_xlfn.XMATCH($B$2,'Talnagögn | Numerical Data'!$1:$1))-1</f>
        <v>0.34028203682775837</v>
      </c>
      <c r="L731" s="565" cm="1">
        <f t="array" ref="L731">INDEX('Talnagögn | Numerical Data'!$1:$1048576,_xlfn.XMATCH($A731,'Talnagögn | Numerical Data'!$B:$B),_xlfn.XMATCH($A$1,'Talnagögn | Numerical Data'!$1:$1))-INDEX('Talnagögn | Numerical Data'!$1:$1048576,_xlfn.XMATCH($A731,'Talnagögn | Numerical Data'!$B:$B),_xlfn.XMATCH($B$1,'Talnagögn | Numerical Data'!$1:$1))</f>
        <v>-8.1516572983269349</v>
      </c>
      <c r="M731" s="557" cm="1">
        <f t="array" ref="M731">INDEX('Talnagögn | Numerical Data'!$1:$1048576,_xlfn.XMATCH($A731,'Talnagögn | Numerical Data'!$B:$B),_xlfn.XMATCH($A$1,'Talnagögn | Numerical Data'!$1:$1))/INDEX('Talnagögn | Numerical Data'!$1:$1048576,_xlfn.XMATCH($A731,'Talnagögn | Numerical Data'!$B:$B),_xlfn.XMATCH($B$1,'Talnagögn | Numerical Data'!$1:$1))-1</f>
        <v>-0.52254036040504748</v>
      </c>
      <c r="N731" s="178"/>
      <c r="O731" s="563" t="str">
        <f>'Talnagögn | Numerical Data'!$E$232</f>
        <v>Brennsla og opinn bruni</v>
      </c>
      <c r="P731" s="565" cm="1">
        <f t="array" ref="P731">INDEX('Talnagögn | Numerical Data'!$1:$1048576,_xlfn.XMATCH($B731,'Talnagögn | Numerical Data'!$C:$C),_xlfn.XMATCH($B$4,'Talnagögn | Numerical Data'!$1:$1))-INDEX('Talnagögn | Numerical Data'!$1:$1048576,_xlfn.XMATCH($A731,'Talnagögn | Numerical Data'!$B:$B),_xlfn.XMATCH($B$2,'Talnagögn | Numerical Data'!$1:$1))</f>
        <v>1.6241439853809432</v>
      </c>
      <c r="Q731" s="569" cm="1">
        <f t="array" ref="Q731">INDEX('Talnagögn | Numerical Data'!$1:$1048576,_xlfn.XMATCH($B731,'Talnagögn | Numerical Data'!$C:$C),_xlfn.XMATCH($B$4,'Talnagögn | Numerical Data'!$1:$1))/INDEX('Talnagögn | Numerical Data'!$1:$1048576,_xlfn.XMATCH($A731,'Talnagögn | Numerical Data'!$B:$B),_xlfn.XMATCH($B$2,'Talnagögn | Numerical Data'!$1:$1))-1</f>
        <v>0.29225233277537499</v>
      </c>
      <c r="R731" s="561" cm="1">
        <f t="array" ref="R731">INDEX('Talnagögn | Numerical Data'!$1:$1048576,_xlfn.XMATCH($B731,'Talnagögn | Numerical Data'!$C:$C),_xlfn.XMATCH($B$5,'Talnagögn | Numerical Data'!$1:$1))-INDEX('Talnagögn | Numerical Data'!$1:$1048576,_xlfn.XMATCH($A731,'Talnagögn | Numerical Data'!$B:$B),_xlfn.XMATCH($B$1,'Talnagögn | Numerical Data'!$1:$1))</f>
        <v>1.0100248974871775</v>
      </c>
      <c r="S731" s="598" cm="1">
        <f t="array" ref="S731">INDEX('Talnagögn | Numerical Data'!$1:$1048576,_xlfn.XMATCH($B731,'Talnagögn | Numerical Data'!$C:$C),_xlfn.XMATCH($B$5,'Talnagögn | Numerical Data'!$1:$1))/INDEX('Talnagögn | Numerical Data'!$1:$1048576,_xlfn.XMATCH($A731,'Talnagögn | Numerical Data'!$B:$B),_xlfn.XMATCH($B$1,'Talnagögn | Numerical Data'!$1:$1))-1</f>
        <v>6.4744965917463704E-2</v>
      </c>
      <c r="V731" s="423"/>
      <c r="Y731" s="563" t="str">
        <f>'Talnagögn | Numerical Data'!$G$232</f>
        <v>Incineration and Open Burning</v>
      </c>
      <c r="Z731" s="561" cm="1">
        <f t="array" ref="Z731">INDEX('Talnagögn | Numerical Data'!$1:$1048576,_xlfn.XMATCH($A731,'Talnagögn | Numerical Data'!$B:$B),_xlfn.XMATCH($A$1,'Talnagögn | Numerical Data'!$1:$1))</f>
        <v>7.4483956660185804</v>
      </c>
      <c r="AA731" s="567">
        <f>$F$731/$F$733</f>
        <v>3.3462114055914448E-2</v>
      </c>
      <c r="AB731" s="564" cm="1">
        <f t="array" ref="AB731">INDEX('Talnagögn | Numerical Data'!$1:$1048576,_xlfn.XMATCH($A731,'Talnagögn | Numerical Data'!$B:$B),_xlfn.XMATCH($A$1,'Talnagögn | Numerical Data'!$1:$1))-INDEX('Talnagögn | Numerical Data'!$1:$1048576,_xlfn.XMATCH($A731,'Talnagögn | Numerical Data'!$B:$B),_xlfn.XMATCH($B$3,'Talnagögn | Numerical Data'!$1:$1))</f>
        <v>-0.10400802417456845</v>
      </c>
      <c r="AC731" s="567" cm="1">
        <f t="array" ref="AC731">INDEX('Talnagögn | Numerical Data'!$1:$1048576,_xlfn.XMATCH($A731,'Talnagögn | Numerical Data'!$B:$B),_xlfn.XMATCH($A$1,'Talnagögn | Numerical Data'!$1:$1))/INDEX('Talnagögn | Numerical Data'!$1:$1048576,_xlfn.XMATCH($A731,'Talnagögn | Numerical Data'!$B:$B),_xlfn.XMATCH($B$3,'Talnagögn | Numerical Data'!$1:$1))-1</f>
        <v>-1.3771512811162845E-2</v>
      </c>
      <c r="AD731" s="565" cm="1">
        <f t="array" ref="AD731">INDEX('Talnagögn | Numerical Data'!$1:$1048576,_xlfn.XMATCH($A731,'Talnagögn | Numerical Data'!$B:$B),_xlfn.XMATCH($A$1,'Talnagögn | Numerical Data'!$1:$1))-INDEX('Talnagögn | Numerical Data'!$1:$1048576,_xlfn.XMATCH($A731,'Talnagögn | Numerical Data'!$B:$B),_xlfn.XMATCH($B$2,'Talnagögn | Numerical Data'!$1:$1))</f>
        <v>1.8910611189945907</v>
      </c>
      <c r="AE731" s="569" cm="1">
        <f t="array" ref="AE731">INDEX('Talnagögn | Numerical Data'!$1:$1048576,_xlfn.XMATCH($A731,'Talnagögn | Numerical Data'!$B:$B),_xlfn.XMATCH($A$1,'Talnagögn | Numerical Data'!$1:$1))/INDEX('Talnagögn | Numerical Data'!$1:$1048576,_xlfn.XMATCH($A731,'Talnagögn | Numerical Data'!$B:$B),_xlfn.XMATCH($B$2,'Talnagögn | Numerical Data'!$1:$1))-1</f>
        <v>0.34028203682775837</v>
      </c>
      <c r="AF731" s="565" cm="1">
        <f t="array" ref="AF731">INDEX('Talnagögn | Numerical Data'!$1:$1048576,_xlfn.XMATCH($A731,'Talnagögn | Numerical Data'!$B:$B),_xlfn.XMATCH($A$1,'Talnagögn | Numerical Data'!$1:$1))-INDEX('Talnagögn | Numerical Data'!$1:$1048576,_xlfn.XMATCH($A731,'Talnagögn | Numerical Data'!$B:$B),_xlfn.XMATCH($B$1,'Talnagögn | Numerical Data'!$1:$1))</f>
        <v>-8.1516572983269349</v>
      </c>
      <c r="AG731" s="557" cm="1">
        <f t="array" ref="AG731">INDEX('Talnagögn | Numerical Data'!$1:$1048576,_xlfn.XMATCH($A731,'Talnagögn | Numerical Data'!$B:$B),_xlfn.XMATCH($A$1,'Talnagögn | Numerical Data'!$1:$1))/INDEX('Talnagögn | Numerical Data'!$1:$1048576,_xlfn.XMATCH($A731,'Talnagögn | Numerical Data'!$B:$B),_xlfn.XMATCH($B$1,'Talnagögn | Numerical Data'!$1:$1))-1</f>
        <v>-0.52254036040504748</v>
      </c>
      <c r="AH731" s="178"/>
      <c r="AI731" s="563" t="str">
        <f>'Talnagögn | Numerical Data'!$G$232</f>
        <v>Incineration and Open Burning</v>
      </c>
      <c r="AJ731" s="565" cm="1">
        <f t="array" ref="AJ731">INDEX('Talnagögn | Numerical Data'!$1:$1048576,_xlfn.XMATCH($B731,'Talnagögn | Numerical Data'!$C:$C),_xlfn.XMATCH($B$4,'Talnagögn | Numerical Data'!$1:$1))-INDEX('Talnagögn | Numerical Data'!$1:$1048576,_xlfn.XMATCH($A731,'Talnagögn | Numerical Data'!$B:$B),_xlfn.XMATCH($B$2,'Talnagögn | Numerical Data'!$1:$1))</f>
        <v>1.6241439853809432</v>
      </c>
      <c r="AK731" s="569" cm="1">
        <f t="array" ref="AK731">INDEX('Talnagögn | Numerical Data'!$1:$1048576,_xlfn.XMATCH($B731,'Talnagögn | Numerical Data'!$C:$C),_xlfn.XMATCH($B$4,'Talnagögn | Numerical Data'!$1:$1))/INDEX('Talnagögn | Numerical Data'!$1:$1048576,_xlfn.XMATCH($A731,'Talnagögn | Numerical Data'!$B:$B),_xlfn.XMATCH($B$2,'Talnagögn | Numerical Data'!$1:$1))-1</f>
        <v>0.29225233277537499</v>
      </c>
      <c r="AL731" s="561" cm="1">
        <f t="array" ref="AL731">INDEX('Talnagögn | Numerical Data'!$1:$1048576,_xlfn.XMATCH($B731,'Talnagögn | Numerical Data'!$C:$C),_xlfn.XMATCH($B$5,'Talnagögn | Numerical Data'!$1:$1))-INDEX('Talnagögn | Numerical Data'!$1:$1048576,_xlfn.XMATCH($A731,'Talnagögn | Numerical Data'!$B:$B),_xlfn.XMATCH($B$1,'Talnagögn | Numerical Data'!$1:$1))</f>
        <v>1.0100248974871775</v>
      </c>
      <c r="AM731" s="598" cm="1">
        <f t="array" ref="AM731">INDEX('Talnagögn | Numerical Data'!$1:$1048576,_xlfn.XMATCH($B731,'Talnagögn | Numerical Data'!$C:$C),_xlfn.XMATCH($B$5,'Talnagögn | Numerical Data'!$1:$1))/INDEX('Talnagögn | Numerical Data'!$1:$1048576,_xlfn.XMATCH($A731,'Talnagögn | Numerical Data'!$B:$B),_xlfn.XMATCH($B$1,'Talnagögn | Numerical Data'!$1:$1))-1</f>
        <v>6.4744965917463704E-2</v>
      </c>
    </row>
    <row r="732" spans="1:45" s="21" customFormat="1" ht="21" customHeight="1" x14ac:dyDescent="0.4">
      <c r="A732" s="27" t="s">
        <v>67</v>
      </c>
      <c r="B732" s="27" t="s">
        <v>290</v>
      </c>
      <c r="C732" s="27" t="s">
        <v>294</v>
      </c>
      <c r="D732" s="131" t="s">
        <v>44</v>
      </c>
      <c r="E732" s="570" t="str">
        <f>'Talnagögn | Numerical Data'!$E$233</f>
        <v>Meðhöndlun skólps</v>
      </c>
      <c r="F732" s="571" cm="1">
        <f t="array" ref="F732">INDEX('Talnagögn | Numerical Data'!$1:$1048576,_xlfn.XMATCH($A732,'Talnagögn | Numerical Data'!$B:$B),_xlfn.XMATCH($A$1,'Talnagögn | Numerical Data'!$1:$1))</f>
        <v>24.075251834056697</v>
      </c>
      <c r="G732" s="922">
        <f>$F$732/$F$733</f>
        <v>0.10815870409133273</v>
      </c>
      <c r="H732" s="573" cm="1">
        <f t="array" ref="H732">INDEX('Talnagögn | Numerical Data'!$1:$1048576,_xlfn.XMATCH($A732,'Talnagögn | Numerical Data'!$B:$B),_xlfn.XMATCH($A$1,'Talnagögn | Numerical Data'!$1:$1))-INDEX('Talnagögn | Numerical Data'!$1:$1048576,_xlfn.XMATCH($A732,'Talnagögn | Numerical Data'!$B:$B),_xlfn.XMATCH($B$3,'Talnagögn | Numerical Data'!$1:$1))</f>
        <v>1.6870515288258687</v>
      </c>
      <c r="I732" s="572" cm="1">
        <f t="array" ref="I732">INDEX('Talnagögn | Numerical Data'!$1:$1048576,_xlfn.XMATCH($A732,'Talnagögn | Numerical Data'!$B:$B),_xlfn.XMATCH($A$1,'Talnagögn | Numerical Data'!$1:$1))/INDEX('Talnagögn | Numerical Data'!$1:$1048576,_xlfn.XMATCH($A732,'Talnagögn | Numerical Data'!$B:$B),_xlfn.XMATCH($B$3,'Talnagögn | Numerical Data'!$1:$1))-1</f>
        <v>7.5354495038696845E-2</v>
      </c>
      <c r="J732" s="573" cm="1">
        <f t="array" ref="J732">INDEX('Talnagögn | Numerical Data'!$1:$1048576,_xlfn.XMATCH($A732,'Talnagögn | Numerical Data'!$B:$B),_xlfn.XMATCH($A$1,'Talnagögn | Numerical Data'!$1:$1))-INDEX('Talnagögn | Numerical Data'!$1:$1048576,_xlfn.XMATCH($A732,'Talnagögn | Numerical Data'!$B:$B),_xlfn.XMATCH($B$2,'Talnagögn | Numerical Data'!$1:$1))</f>
        <v>1.2938120062674763</v>
      </c>
      <c r="K732" s="572" cm="1">
        <f t="array" ref="K732">INDEX('Talnagögn | Numerical Data'!$1:$1048576,_xlfn.XMATCH($A732,'Talnagögn | Numerical Data'!$B:$B),_xlfn.XMATCH($A$1,'Talnagögn | Numerical Data'!$1:$1))/INDEX('Talnagögn | Numerical Data'!$1:$1048576,_xlfn.XMATCH($A732,'Talnagögn | Numerical Data'!$B:$B),_xlfn.XMATCH($B$2,'Talnagögn | Numerical Data'!$1:$1))-1</f>
        <v>5.6792372038279249E-2</v>
      </c>
      <c r="L732" s="573" cm="1">
        <f t="array" ref="L732">INDEX('Talnagögn | Numerical Data'!$1:$1048576,_xlfn.XMATCH($A732,'Talnagögn | Numerical Data'!$B:$B),_xlfn.XMATCH($A$1,'Talnagögn | Numerical Data'!$1:$1))-INDEX('Talnagögn | Numerical Data'!$1:$1048576,_xlfn.XMATCH($A732,'Talnagögn | Numerical Data'!$B:$B),_xlfn.XMATCH($B$1,'Talnagögn | Numerical Data'!$1:$1))</f>
        <v>1.1452405599571271</v>
      </c>
      <c r="M732" s="923" cm="1">
        <f t="array" ref="M732">INDEX('Talnagögn | Numerical Data'!$1:$1048576,_xlfn.XMATCH($A732,'Talnagögn | Numerical Data'!$B:$B),_xlfn.XMATCH($A$1,'Talnagögn | Numerical Data'!$1:$1))/INDEX('Talnagögn | Numerical Data'!$1:$1048576,_xlfn.XMATCH($A732,'Talnagögn | Numerical Data'!$B:$B),_xlfn.XMATCH($B$1,'Talnagögn | Numerical Data'!$1:$1))-1</f>
        <v>4.9945050016208414E-2</v>
      </c>
      <c r="N732" s="178"/>
      <c r="O732" s="570" t="str">
        <f>'Talnagögn | Numerical Data'!$E$233</f>
        <v>Meðhöndlun skólps</v>
      </c>
      <c r="P732" s="573" cm="1">
        <f t="array" ref="P732">INDEX('Talnagögn | Numerical Data'!$1:$1048576,_xlfn.XMATCH($B732,'Talnagögn | Numerical Data'!$C:$C),_xlfn.XMATCH($B$4,'Talnagögn | Numerical Data'!$1:$1))-INDEX('Talnagögn | Numerical Data'!$1:$1048576,_xlfn.XMATCH($A732,'Talnagögn | Numerical Data'!$B:$B),_xlfn.XMATCH($B$2,'Talnagögn | Numerical Data'!$1:$1))</f>
        <v>2.0029799091061093</v>
      </c>
      <c r="Q732" s="572" cm="1">
        <f t="array" ref="Q732">INDEX('Talnagögn | Numerical Data'!$1:$1048576,_xlfn.XMATCH($B732,'Talnagögn | Numerical Data'!$C:$C),_xlfn.XMATCH($B$4,'Talnagögn | Numerical Data'!$1:$1))/INDEX('Talnagögn | Numerical Data'!$1:$1048576,_xlfn.XMATCH($A732,'Talnagögn | Numerical Data'!$B:$B),_xlfn.XMATCH($B$2,'Talnagögn | Numerical Data'!$1:$1))-1</f>
        <v>8.7921567918759713E-2</v>
      </c>
      <c r="R732" s="580" cm="1">
        <f t="array" ref="R732">INDEX('Talnagögn | Numerical Data'!$1:$1048576,_xlfn.XMATCH($B732,'Talnagögn | Numerical Data'!$C:$C),_xlfn.XMATCH($B$5,'Talnagögn | Numerical Data'!$1:$1))-INDEX('Talnagögn | Numerical Data'!$1:$1048576,_xlfn.XMATCH($A732,'Talnagögn | Numerical Data'!$B:$B),_xlfn.XMATCH($B$1,'Talnagögn | Numerical Data'!$1:$1))</f>
        <v>6.0939404629446301</v>
      </c>
      <c r="S732" s="574" cm="1">
        <f t="array" ref="S732">INDEX('Talnagögn | Numerical Data'!$1:$1048576,_xlfn.XMATCH($B732,'Talnagögn | Numerical Data'!$C:$C),_xlfn.XMATCH($B$5,'Talnagögn | Numerical Data'!$1:$1))/INDEX('Talnagögn | Numerical Data'!$1:$1048576,_xlfn.XMATCH($A732,'Talnagögn | Numerical Data'!$B:$B),_xlfn.XMATCH($B$1,'Talnagögn | Numerical Data'!$1:$1))-1</f>
        <v>0.26576264573528574</v>
      </c>
      <c r="V732" s="423"/>
      <c r="Y732" s="570" t="str">
        <f>'Talnagögn | Numerical Data'!$G$233</f>
        <v>Wastewater Treatment and Discharge</v>
      </c>
      <c r="Z732" s="571" cm="1">
        <f t="array" ref="Z732">INDEX('Talnagögn | Numerical Data'!$1:$1048576,_xlfn.XMATCH($A732,'Talnagögn | Numerical Data'!$B:$B),_xlfn.XMATCH($A$1,'Talnagögn | Numerical Data'!$1:$1))</f>
        <v>24.075251834056697</v>
      </c>
      <c r="AA732" s="922">
        <f>$F$732/$F$733</f>
        <v>0.10815870409133273</v>
      </c>
      <c r="AB732" s="573" cm="1">
        <f t="array" ref="AB732">INDEX('Talnagögn | Numerical Data'!$1:$1048576,_xlfn.XMATCH($A732,'Talnagögn | Numerical Data'!$B:$B),_xlfn.XMATCH($A$1,'Talnagögn | Numerical Data'!$1:$1))-INDEX('Talnagögn | Numerical Data'!$1:$1048576,_xlfn.XMATCH($A732,'Talnagögn | Numerical Data'!$B:$B),_xlfn.XMATCH($B$3,'Talnagögn | Numerical Data'!$1:$1))</f>
        <v>1.6870515288258687</v>
      </c>
      <c r="AC732" s="572" cm="1">
        <f t="array" ref="AC732">INDEX('Talnagögn | Numerical Data'!$1:$1048576,_xlfn.XMATCH($A732,'Talnagögn | Numerical Data'!$B:$B),_xlfn.XMATCH($A$1,'Talnagögn | Numerical Data'!$1:$1))/INDEX('Talnagögn | Numerical Data'!$1:$1048576,_xlfn.XMATCH($A732,'Talnagögn | Numerical Data'!$B:$B),_xlfn.XMATCH($B$3,'Talnagögn | Numerical Data'!$1:$1))-1</f>
        <v>7.5354495038696845E-2</v>
      </c>
      <c r="AD732" s="573" cm="1">
        <f t="array" ref="AD732">INDEX('Talnagögn | Numerical Data'!$1:$1048576,_xlfn.XMATCH($A732,'Talnagögn | Numerical Data'!$B:$B),_xlfn.XMATCH($A$1,'Talnagögn | Numerical Data'!$1:$1))-INDEX('Talnagögn | Numerical Data'!$1:$1048576,_xlfn.XMATCH($A732,'Talnagögn | Numerical Data'!$B:$B),_xlfn.XMATCH($B$2,'Talnagögn | Numerical Data'!$1:$1))</f>
        <v>1.2938120062674763</v>
      </c>
      <c r="AE732" s="572" cm="1">
        <f t="array" ref="AE732">INDEX('Talnagögn | Numerical Data'!$1:$1048576,_xlfn.XMATCH($A732,'Talnagögn | Numerical Data'!$B:$B),_xlfn.XMATCH($A$1,'Talnagögn | Numerical Data'!$1:$1))/INDEX('Talnagögn | Numerical Data'!$1:$1048576,_xlfn.XMATCH($A732,'Talnagögn | Numerical Data'!$B:$B),_xlfn.XMATCH($B$2,'Talnagögn | Numerical Data'!$1:$1))-1</f>
        <v>5.6792372038279249E-2</v>
      </c>
      <c r="AF732" s="573" cm="1">
        <f t="array" ref="AF732">INDEX('Talnagögn | Numerical Data'!$1:$1048576,_xlfn.XMATCH($A732,'Talnagögn | Numerical Data'!$B:$B),_xlfn.XMATCH($A$1,'Talnagögn | Numerical Data'!$1:$1))-INDEX('Talnagögn | Numerical Data'!$1:$1048576,_xlfn.XMATCH($A732,'Talnagögn | Numerical Data'!$B:$B),_xlfn.XMATCH($B$1,'Talnagögn | Numerical Data'!$1:$1))</f>
        <v>1.1452405599571271</v>
      </c>
      <c r="AG732" s="923" cm="1">
        <f t="array" ref="AG732">INDEX('Talnagögn | Numerical Data'!$1:$1048576,_xlfn.XMATCH($A732,'Talnagögn | Numerical Data'!$B:$B),_xlfn.XMATCH($A$1,'Talnagögn | Numerical Data'!$1:$1))/INDEX('Talnagögn | Numerical Data'!$1:$1048576,_xlfn.XMATCH($A732,'Talnagögn | Numerical Data'!$B:$B),_xlfn.XMATCH($B$1,'Talnagögn | Numerical Data'!$1:$1))-1</f>
        <v>4.9945050016208414E-2</v>
      </c>
      <c r="AH732" s="178"/>
      <c r="AI732" s="570" t="str">
        <f>'Talnagögn | Numerical Data'!$G$233</f>
        <v>Wastewater Treatment and Discharge</v>
      </c>
      <c r="AJ732" s="573" cm="1">
        <f t="array" ref="AJ732">INDEX('Talnagögn | Numerical Data'!$1:$1048576,_xlfn.XMATCH($B732,'Talnagögn | Numerical Data'!$C:$C),_xlfn.XMATCH($B$4,'Talnagögn | Numerical Data'!$1:$1))-INDEX('Talnagögn | Numerical Data'!$1:$1048576,_xlfn.XMATCH($A732,'Talnagögn | Numerical Data'!$B:$B),_xlfn.XMATCH($B$2,'Talnagögn | Numerical Data'!$1:$1))</f>
        <v>2.0029799091061093</v>
      </c>
      <c r="AK732" s="572" cm="1">
        <f t="array" ref="AK732">INDEX('Talnagögn | Numerical Data'!$1:$1048576,_xlfn.XMATCH($B732,'Talnagögn | Numerical Data'!$C:$C),_xlfn.XMATCH($B$4,'Talnagögn | Numerical Data'!$1:$1))/INDEX('Talnagögn | Numerical Data'!$1:$1048576,_xlfn.XMATCH($A732,'Talnagögn | Numerical Data'!$B:$B),_xlfn.XMATCH($B$2,'Talnagögn | Numerical Data'!$1:$1))-1</f>
        <v>8.7921567918759713E-2</v>
      </c>
      <c r="AL732" s="580" cm="1">
        <f t="array" ref="AL732">INDEX('Talnagögn | Numerical Data'!$1:$1048576,_xlfn.XMATCH($B732,'Talnagögn | Numerical Data'!$C:$C),_xlfn.XMATCH($B$5,'Talnagögn | Numerical Data'!$1:$1))-INDEX('Talnagögn | Numerical Data'!$1:$1048576,_xlfn.XMATCH($A732,'Talnagögn | Numerical Data'!$B:$B),_xlfn.XMATCH($B$1,'Talnagögn | Numerical Data'!$1:$1))</f>
        <v>6.0939404629446301</v>
      </c>
      <c r="AM732" s="574" cm="1">
        <f t="array" ref="AM732">INDEX('Talnagögn | Numerical Data'!$1:$1048576,_xlfn.XMATCH($B732,'Talnagögn | Numerical Data'!$C:$C),_xlfn.XMATCH($B$5,'Talnagögn | Numerical Data'!$1:$1))/INDEX('Talnagögn | Numerical Data'!$1:$1048576,_xlfn.XMATCH($A732,'Talnagögn | Numerical Data'!$B:$B),_xlfn.XMATCH($B$1,'Talnagögn | Numerical Data'!$1:$1))-1</f>
        <v>0.26576264573528574</v>
      </c>
    </row>
    <row r="733" spans="1:45" ht="28.5" customHeight="1" x14ac:dyDescent="0.4">
      <c r="A733" s="27" t="s">
        <v>42</v>
      </c>
      <c r="B733" s="27" t="s">
        <v>225</v>
      </c>
      <c r="C733" s="27" t="s">
        <v>232</v>
      </c>
      <c r="D733" s="131" t="s">
        <v>44</v>
      </c>
      <c r="E733" s="575" t="s">
        <v>12</v>
      </c>
      <c r="F733" s="576" cm="1">
        <f t="array" ref="F733">INDEX('Talnagögn | Numerical Data'!$1:$1048576,_xlfn.XMATCH($A733,'Talnagögn | Numerical Data'!$B:$B),_xlfn.XMATCH($A$1,'Talnagögn | Numerical Data'!$1:$1))</f>
        <v>222.59190359498734</v>
      </c>
      <c r="G733" s="577">
        <f>SUM($G$729:$G$732)</f>
        <v>1</v>
      </c>
      <c r="H733" s="576" cm="1">
        <f t="array" ref="H733">INDEX('Talnagögn | Numerical Data'!$1:$1048576,_xlfn.XMATCH($A733,'Talnagögn | Numerical Data'!$B:$B),_xlfn.XMATCH($A$1,'Talnagögn | Numerical Data'!$1:$1))-INDEX('Talnagögn | Numerical Data'!$1:$1048576,_xlfn.XMATCH($A733,'Talnagögn | Numerical Data'!$B:$B),_xlfn.XMATCH($B$3,'Talnagögn | Numerical Data'!$1:$1))</f>
        <v>-16.793902732083069</v>
      </c>
      <c r="I733" s="578" cm="1">
        <f t="array" ref="I733">INDEX('Talnagögn | Numerical Data'!$1:$1048576,_xlfn.XMATCH($A733,'Talnagögn | Numerical Data'!$B:$B),_xlfn.XMATCH($A$1,'Talnagögn | Numerical Data'!$1:$1))/INDEX('Talnagögn | Numerical Data'!$1:$1048576,_xlfn.XMATCH($A733,'Talnagögn | Numerical Data'!$B:$B),_xlfn.XMATCH($B$3,'Talnagögn | Numerical Data'!$1:$1))-1</f>
        <v>-7.0154128975958296E-2</v>
      </c>
      <c r="J733" s="576" cm="1">
        <f t="array" ref="J733">INDEX('Talnagögn | Numerical Data'!$1:$1048576,_xlfn.XMATCH($A733,'Talnagögn | Numerical Data'!$B:$B),_xlfn.XMATCH($A$1,'Talnagögn | Numerical Data'!$1:$1))-INDEX('Talnagögn | Numerical Data'!$1:$1048576,_xlfn.XMATCH($A733,'Talnagögn | Numerical Data'!$B:$B),_xlfn.XMATCH($B$2,'Talnagögn | Numerical Data'!$1:$1))</f>
        <v>-91.372948986054951</v>
      </c>
      <c r="K733" s="577" cm="1">
        <f t="array" ref="K733">INDEX('Talnagögn | Numerical Data'!$1:$1048576,_xlfn.XMATCH($A733,'Talnagögn | Numerical Data'!$B:$B),_xlfn.XMATCH($A$1,'Talnagögn | Numerical Data'!$1:$1))/INDEX('Talnagögn | Numerical Data'!$1:$1048576,_xlfn.XMATCH($A733,'Talnagögn | Numerical Data'!$B:$B),_xlfn.XMATCH($B$2,'Talnagögn | Numerical Data'!$1:$1))-1</f>
        <v>-0.29102922902005179</v>
      </c>
      <c r="L733" s="660" cm="1">
        <f t="array" ref="L733">INDEX('Talnagögn | Numerical Data'!$1:$1048576,_xlfn.XMATCH($A733,'Talnagögn | Numerical Data'!$B:$B),_xlfn.XMATCH($A$1,'Talnagögn | Numerical Data'!$1:$1))-INDEX('Talnagögn | Numerical Data'!$1:$1048576,_xlfn.XMATCH($A733,'Talnagögn | Numerical Data'!$B:$B),_xlfn.XMATCH($B$1,'Talnagögn | Numerical Data'!$1:$1))</f>
        <v>8.0408555542836382</v>
      </c>
      <c r="M733" s="924" cm="1">
        <f t="array" ref="M733">INDEX('Talnagögn | Numerical Data'!$1:$1048576,_xlfn.XMATCH($A733,'Talnagögn | Numerical Data'!$B:$B),_xlfn.XMATCH($A$1,'Talnagögn | Numerical Data'!$1:$1))/INDEX('Talnagögn | Numerical Data'!$1:$1048576,_xlfn.XMATCH($A733,'Talnagögn | Numerical Data'!$B:$B),_xlfn.XMATCH($B$1,'Talnagögn | Numerical Data'!$1:$1))-1</f>
        <v>3.7477586931936813E-2</v>
      </c>
      <c r="O733" s="575" t="s">
        <v>12</v>
      </c>
      <c r="P733" s="576" cm="1">
        <f t="array" ref="P733">INDEX('Talnagögn | Numerical Data'!$1:$1048576,_xlfn.XMATCH($B733,'Talnagögn | Numerical Data'!$C:$C),_xlfn.XMATCH($B$4,'Talnagögn | Numerical Data'!$1:$1))-INDEX('Talnagögn | Numerical Data'!$1:$1048576,_xlfn.XMATCH($A733,'Talnagögn | Numerical Data'!$B:$B),_xlfn.XMATCH($B$2,'Talnagögn | Numerical Data'!$1:$1))</f>
        <v>-155.176977797196</v>
      </c>
      <c r="Q733" s="577" cm="1">
        <f t="array" ref="Q733">INDEX('Talnagögn | Numerical Data'!$1:$1048576,_xlfn.XMATCH($B733,'Talnagögn | Numerical Data'!$C:$C),_xlfn.XMATCH($B$4,'Talnagögn | Numerical Data'!$1:$1))/INDEX('Talnagögn | Numerical Data'!$1:$1048576,_xlfn.XMATCH($A733,'Talnagögn | Numerical Data'!$B:$B),_xlfn.XMATCH($B$2,'Talnagögn | Numerical Data'!$1:$1))-1</f>
        <v>-0.49424952035718994</v>
      </c>
      <c r="R733" s="576" cm="1">
        <f t="array" ref="R733">INDEX('Talnagögn | Numerical Data'!$1:$1048576,_xlfn.XMATCH($B733,'Talnagögn | Numerical Data'!$C:$C),_xlfn.XMATCH($B$5,'Talnagögn | Numerical Data'!$1:$1))-INDEX('Talnagögn | Numerical Data'!$1:$1048576,_xlfn.XMATCH($A733,'Talnagögn | Numerical Data'!$B:$B),_xlfn.XMATCH($B$1,'Talnagögn | Numerical Data'!$1:$1))</f>
        <v>-138.78264021664998</v>
      </c>
      <c r="S733" s="579" cm="1">
        <f t="array" ref="S733">INDEX('Talnagögn | Numerical Data'!$1:$1048576,_xlfn.XMATCH($B733,'Talnagögn | Numerical Data'!$C:$C),_xlfn.XMATCH($B$5,'Talnagögn | Numerical Data'!$1:$1))/INDEX('Talnagögn | Numerical Data'!$1:$1048576,_xlfn.XMATCH($A733,'Talnagögn | Numerical Data'!$B:$B),_xlfn.XMATCH($B$1,'Talnagögn | Numerical Data'!$1:$1))-1</f>
        <v>-0.64685137399245307</v>
      </c>
      <c r="T733" s="5"/>
      <c r="U733" s="5"/>
      <c r="V733" s="162"/>
      <c r="Y733" s="575" t="s">
        <v>12</v>
      </c>
      <c r="Z733" s="576" cm="1">
        <f t="array" ref="Z733">INDEX('Talnagögn | Numerical Data'!$1:$1048576,_xlfn.XMATCH($A733,'Talnagögn | Numerical Data'!$B:$B),_xlfn.XMATCH($A$1,'Talnagögn | Numerical Data'!$1:$1))</f>
        <v>222.59190359498734</v>
      </c>
      <c r="AA733" s="577">
        <f>SUM($G$729:$G$732)</f>
        <v>1</v>
      </c>
      <c r="AB733" s="576" cm="1">
        <f t="array" ref="AB733">INDEX('Talnagögn | Numerical Data'!$1:$1048576,_xlfn.XMATCH($A733,'Talnagögn | Numerical Data'!$B:$B),_xlfn.XMATCH($A$1,'Talnagögn | Numerical Data'!$1:$1))-INDEX('Talnagögn | Numerical Data'!$1:$1048576,_xlfn.XMATCH($A733,'Talnagögn | Numerical Data'!$B:$B),_xlfn.XMATCH($B$3,'Talnagögn | Numerical Data'!$1:$1))</f>
        <v>-16.793902732083069</v>
      </c>
      <c r="AC733" s="578" cm="1">
        <f t="array" ref="AC733">INDEX('Talnagögn | Numerical Data'!$1:$1048576,_xlfn.XMATCH($A733,'Talnagögn | Numerical Data'!$B:$B),_xlfn.XMATCH($A$1,'Talnagögn | Numerical Data'!$1:$1))/INDEX('Talnagögn | Numerical Data'!$1:$1048576,_xlfn.XMATCH($A733,'Talnagögn | Numerical Data'!$B:$B),_xlfn.XMATCH($B$3,'Talnagögn | Numerical Data'!$1:$1))-1</f>
        <v>-7.0154128975958296E-2</v>
      </c>
      <c r="AD733" s="576" cm="1">
        <f t="array" ref="AD733">INDEX('Talnagögn | Numerical Data'!$1:$1048576,_xlfn.XMATCH($A733,'Talnagögn | Numerical Data'!$B:$B),_xlfn.XMATCH($A$1,'Talnagögn | Numerical Data'!$1:$1))-INDEX('Talnagögn | Numerical Data'!$1:$1048576,_xlfn.XMATCH($A733,'Talnagögn | Numerical Data'!$B:$B),_xlfn.XMATCH($B$2,'Talnagögn | Numerical Data'!$1:$1))</f>
        <v>-91.372948986054951</v>
      </c>
      <c r="AE733" s="577" cm="1">
        <f t="array" ref="AE733">INDEX('Talnagögn | Numerical Data'!$1:$1048576,_xlfn.XMATCH($A733,'Talnagögn | Numerical Data'!$B:$B),_xlfn.XMATCH($A$1,'Talnagögn | Numerical Data'!$1:$1))/INDEX('Talnagögn | Numerical Data'!$1:$1048576,_xlfn.XMATCH($A733,'Talnagögn | Numerical Data'!$B:$B),_xlfn.XMATCH($B$2,'Talnagögn | Numerical Data'!$1:$1))-1</f>
        <v>-0.29102922902005179</v>
      </c>
      <c r="AF733" s="660" cm="1">
        <f t="array" ref="AF733">INDEX('Talnagögn | Numerical Data'!$1:$1048576,_xlfn.XMATCH($A733,'Talnagögn | Numerical Data'!$B:$B),_xlfn.XMATCH($A$1,'Talnagögn | Numerical Data'!$1:$1))-INDEX('Talnagögn | Numerical Data'!$1:$1048576,_xlfn.XMATCH($A733,'Talnagögn | Numerical Data'!$B:$B),_xlfn.XMATCH($B$1,'Talnagögn | Numerical Data'!$1:$1))</f>
        <v>8.0408555542836382</v>
      </c>
      <c r="AG733" s="924" cm="1">
        <f t="array" ref="AG733">INDEX('Talnagögn | Numerical Data'!$1:$1048576,_xlfn.XMATCH($A733,'Talnagögn | Numerical Data'!$B:$B),_xlfn.XMATCH($A$1,'Talnagögn | Numerical Data'!$1:$1))/INDEX('Talnagögn | Numerical Data'!$1:$1048576,_xlfn.XMATCH($A733,'Talnagögn | Numerical Data'!$B:$B),_xlfn.XMATCH($B$1,'Talnagögn | Numerical Data'!$1:$1))-1</f>
        <v>3.7477586931936813E-2</v>
      </c>
      <c r="AI733" s="575" t="s">
        <v>12</v>
      </c>
      <c r="AJ733" s="576" cm="1">
        <f t="array" ref="AJ733">INDEX('Talnagögn | Numerical Data'!$1:$1048576,_xlfn.XMATCH($B733,'Talnagögn | Numerical Data'!$C:$C),_xlfn.XMATCH($B$4,'Talnagögn | Numerical Data'!$1:$1))-INDEX('Talnagögn | Numerical Data'!$1:$1048576,_xlfn.XMATCH($A733,'Talnagögn | Numerical Data'!$B:$B),_xlfn.XMATCH($B$2,'Talnagögn | Numerical Data'!$1:$1))</f>
        <v>-155.176977797196</v>
      </c>
      <c r="AK733" s="577" cm="1">
        <f t="array" ref="AK733">INDEX('Talnagögn | Numerical Data'!$1:$1048576,_xlfn.XMATCH($B733,'Talnagögn | Numerical Data'!$C:$C),_xlfn.XMATCH($B$4,'Talnagögn | Numerical Data'!$1:$1))/INDEX('Talnagögn | Numerical Data'!$1:$1048576,_xlfn.XMATCH($A733,'Talnagögn | Numerical Data'!$B:$B),_xlfn.XMATCH($B$2,'Talnagögn | Numerical Data'!$1:$1))-1</f>
        <v>-0.49424952035718994</v>
      </c>
      <c r="AL733" s="576" cm="1">
        <f t="array" ref="AL733">INDEX('Talnagögn | Numerical Data'!$1:$1048576,_xlfn.XMATCH($B733,'Talnagögn | Numerical Data'!$C:$C),_xlfn.XMATCH($B$5,'Talnagögn | Numerical Data'!$1:$1))-INDEX('Talnagögn | Numerical Data'!$1:$1048576,_xlfn.XMATCH($A733,'Talnagögn | Numerical Data'!$B:$B),_xlfn.XMATCH($B$1,'Talnagögn | Numerical Data'!$1:$1))</f>
        <v>-138.78264021664998</v>
      </c>
      <c r="AM733" s="579" cm="1">
        <f t="array" ref="AM733">INDEX('Talnagögn | Numerical Data'!$1:$1048576,_xlfn.XMATCH($B733,'Talnagögn | Numerical Data'!$C:$C),_xlfn.XMATCH($B$5,'Talnagögn | Numerical Data'!$1:$1))/INDEX('Talnagögn | Numerical Data'!$1:$1048576,_xlfn.XMATCH($A733,'Talnagögn | Numerical Data'!$B:$B),_xlfn.XMATCH($B$1,'Talnagögn | Numerical Data'!$1:$1))-1</f>
        <v>-0.64685137399245307</v>
      </c>
      <c r="AN733" s="5"/>
      <c r="AO733" s="5"/>
      <c r="AP733" s="5"/>
      <c r="AQ733" s="5"/>
      <c r="AR733" s="5"/>
      <c r="AS733" s="5"/>
    </row>
    <row r="734" spans="1:45" s="21" customFormat="1" x14ac:dyDescent="0.4">
      <c r="A734" s="632" t="str">
        <f>"ÚRGANGUR "&amp;$A$1</f>
        <v>ÚRGANGUR 2025</v>
      </c>
      <c r="B734" s="632" t="str">
        <f>"WASTE "&amp;$A$1</f>
        <v>WASTE 2025</v>
      </c>
      <c r="C734" s="645"/>
      <c r="D734" s="131" t="s">
        <v>44</v>
      </c>
      <c r="F734" s="178"/>
      <c r="G734" s="178"/>
      <c r="H734" s="127"/>
      <c r="I734" s="178"/>
      <c r="J734" s="178"/>
      <c r="K734" s="178"/>
      <c r="L734" s="178"/>
      <c r="M734" s="178"/>
      <c r="O734" s="178"/>
      <c r="P734" s="178"/>
      <c r="Q734" s="178"/>
      <c r="R734" s="178"/>
      <c r="S734" s="178"/>
      <c r="T734" s="178"/>
      <c r="U734" s="178"/>
      <c r="V734" s="410"/>
      <c r="Z734" s="178"/>
      <c r="AA734" s="178"/>
      <c r="AB734" s="178"/>
      <c r="AC734" s="178"/>
      <c r="AD734" s="178"/>
      <c r="AE734" s="178"/>
      <c r="AF734" s="178"/>
      <c r="AG734" s="178"/>
      <c r="AH734" s="178"/>
      <c r="AI734" s="178"/>
      <c r="AJ734" s="178"/>
      <c r="AK734" s="178"/>
      <c r="AL734" s="178"/>
      <c r="AM734" s="178"/>
      <c r="AN734" s="178"/>
      <c r="AO734" s="178"/>
      <c r="AP734" s="178"/>
      <c r="AQ734" s="178"/>
      <c r="AR734" s="178"/>
      <c r="AS734" s="178"/>
    </row>
    <row r="735" spans="1:45" s="21" customFormat="1" x14ac:dyDescent="0.4">
      <c r="A735" s="27"/>
      <c r="B735" s="645" t="s">
        <v>44</v>
      </c>
      <c r="C735" s="645"/>
      <c r="D735" s="131" t="s">
        <v>44</v>
      </c>
      <c r="F735" s="178"/>
      <c r="G735" s="178"/>
      <c r="H735" s="127"/>
      <c r="I735" s="178"/>
      <c r="J735" s="178"/>
      <c r="K735" s="178"/>
      <c r="L735" s="178"/>
      <c r="M735" s="178"/>
      <c r="N735" s="178"/>
      <c r="O735" s="178"/>
      <c r="P735" s="178"/>
      <c r="Q735" s="178"/>
      <c r="R735" s="178"/>
      <c r="S735" s="178"/>
      <c r="T735" s="178"/>
      <c r="U735" s="178"/>
      <c r="V735" s="410"/>
      <c r="Z735" s="178"/>
      <c r="AA735" s="178"/>
      <c r="AB735" s="178"/>
      <c r="AC735" s="178"/>
      <c r="AD735" s="178"/>
      <c r="AE735" s="178"/>
      <c r="AF735" s="178"/>
      <c r="AG735" s="178"/>
      <c r="AH735" s="178"/>
      <c r="AI735" s="178"/>
      <c r="AJ735" s="178"/>
      <c r="AK735" s="178"/>
      <c r="AL735" s="178"/>
      <c r="AM735" s="178"/>
      <c r="AN735" s="178"/>
      <c r="AO735" s="178"/>
      <c r="AP735" s="178"/>
      <c r="AQ735" s="178"/>
      <c r="AR735" s="178"/>
      <c r="AS735" s="178"/>
    </row>
    <row r="736" spans="1:45" s="21" customFormat="1" x14ac:dyDescent="0.4">
      <c r="A736" s="27"/>
      <c r="B736" s="59"/>
      <c r="C736" s="645"/>
      <c r="D736" s="131" t="s">
        <v>44</v>
      </c>
      <c r="F736" s="178"/>
      <c r="G736" s="178"/>
      <c r="H736" s="127"/>
      <c r="I736" s="178"/>
      <c r="J736" s="178"/>
      <c r="K736" s="178"/>
      <c r="L736" s="178"/>
      <c r="M736" s="178"/>
      <c r="N736" s="178"/>
      <c r="O736" s="178"/>
      <c r="P736" s="178"/>
      <c r="Q736" s="178"/>
      <c r="R736" s="178"/>
      <c r="S736" s="178"/>
      <c r="T736" s="178"/>
      <c r="U736" s="178"/>
      <c r="V736" s="410"/>
      <c r="Z736" s="178"/>
      <c r="AA736" s="178"/>
      <c r="AB736" s="178"/>
      <c r="AC736" s="178"/>
      <c r="AD736" s="178"/>
      <c r="AE736" s="178"/>
      <c r="AF736" s="178"/>
      <c r="AG736" s="178"/>
      <c r="AH736" s="178"/>
      <c r="AI736" s="178"/>
      <c r="AJ736" s="178"/>
      <c r="AK736" s="178"/>
      <c r="AL736" s="178"/>
      <c r="AM736" s="178"/>
      <c r="AN736" s="178"/>
      <c r="AO736" s="178"/>
      <c r="AP736" s="178"/>
      <c r="AQ736" s="178"/>
      <c r="AR736" s="178"/>
      <c r="AS736" s="178"/>
    </row>
    <row r="737" spans="1:45" s="21" customFormat="1" x14ac:dyDescent="0.4">
      <c r="A737" s="27"/>
      <c r="B737" s="59"/>
      <c r="C737" s="645"/>
      <c r="D737" s="131" t="s">
        <v>44</v>
      </c>
      <c r="F737" s="178"/>
      <c r="G737" s="178"/>
      <c r="H737" s="127"/>
      <c r="I737" s="178"/>
      <c r="J737" s="178"/>
      <c r="K737" s="178"/>
      <c r="L737" s="178"/>
      <c r="M737" s="178"/>
      <c r="N737" s="178"/>
      <c r="O737" s="178"/>
      <c r="P737" s="178"/>
      <c r="Q737" s="178"/>
      <c r="R737" s="178"/>
      <c r="S737" s="178"/>
      <c r="T737" s="178"/>
      <c r="U737" s="178"/>
      <c r="V737" s="410"/>
      <c r="Z737" s="178"/>
      <c r="AA737" s="178"/>
      <c r="AB737" s="178"/>
      <c r="AC737" s="178"/>
      <c r="AD737" s="178"/>
      <c r="AE737" s="178"/>
      <c r="AF737" s="178"/>
      <c r="AG737" s="178"/>
      <c r="AH737" s="178"/>
      <c r="AI737" s="178"/>
      <c r="AJ737" s="178"/>
      <c r="AK737" s="178"/>
      <c r="AL737" s="178"/>
      <c r="AM737" s="178"/>
      <c r="AN737" s="178"/>
      <c r="AO737" s="178"/>
      <c r="AP737" s="178"/>
      <c r="AQ737" s="178"/>
      <c r="AR737" s="178"/>
      <c r="AS737" s="178"/>
    </row>
    <row r="738" spans="1:45" s="21" customFormat="1" x14ac:dyDescent="0.4">
      <c r="A738" s="27"/>
      <c r="B738" s="59"/>
      <c r="C738" s="645"/>
      <c r="D738" s="131" t="s">
        <v>44</v>
      </c>
      <c r="F738" s="178"/>
      <c r="G738" s="178"/>
      <c r="H738" s="127"/>
      <c r="I738" s="178"/>
      <c r="J738" s="178"/>
      <c r="K738" s="178"/>
      <c r="L738" s="178"/>
      <c r="M738" s="178"/>
      <c r="N738" s="178"/>
      <c r="O738" s="178"/>
      <c r="P738" s="178"/>
      <c r="Q738" s="178"/>
      <c r="R738" s="178"/>
      <c r="S738" s="178"/>
      <c r="T738" s="178"/>
      <c r="U738" s="178"/>
      <c r="V738" s="410"/>
      <c r="Z738" s="178"/>
      <c r="AA738" s="178"/>
      <c r="AB738" s="178"/>
      <c r="AC738" s="178"/>
      <c r="AD738" s="178"/>
      <c r="AE738" s="178"/>
      <c r="AF738" s="178"/>
      <c r="AG738" s="178"/>
      <c r="AH738" s="178"/>
      <c r="AI738" s="178"/>
      <c r="AJ738" s="178"/>
      <c r="AK738" s="178"/>
      <c r="AL738" s="178"/>
      <c r="AM738" s="178"/>
      <c r="AN738" s="178"/>
      <c r="AO738" s="178"/>
      <c r="AP738" s="178"/>
      <c r="AQ738" s="178"/>
      <c r="AR738" s="178"/>
      <c r="AS738" s="178"/>
    </row>
    <row r="739" spans="1:45" s="21" customFormat="1" x14ac:dyDescent="0.4">
      <c r="A739" s="27"/>
      <c r="B739" s="59"/>
      <c r="C739" s="645"/>
      <c r="D739" s="131" t="s">
        <v>44</v>
      </c>
      <c r="F739" s="178"/>
      <c r="G739" s="178"/>
      <c r="H739" s="127"/>
      <c r="I739" s="178"/>
      <c r="J739" s="178"/>
      <c r="K739" s="178"/>
      <c r="L739" s="178"/>
      <c r="M739" s="178"/>
      <c r="N739" s="178"/>
      <c r="O739" s="178"/>
      <c r="P739" s="178"/>
      <c r="Q739" s="178"/>
      <c r="R739" s="178"/>
      <c r="S739" s="178"/>
      <c r="T739" s="178"/>
      <c r="U739" s="178"/>
      <c r="V739" s="410"/>
      <c r="Z739" s="178"/>
      <c r="AA739" s="178"/>
      <c r="AB739" s="178"/>
      <c r="AC739" s="178"/>
      <c r="AD739" s="178"/>
      <c r="AE739" s="178"/>
      <c r="AF739" s="178"/>
      <c r="AG739" s="178"/>
      <c r="AH739" s="178"/>
      <c r="AI739" s="178"/>
      <c r="AJ739" s="178"/>
      <c r="AK739" s="178"/>
      <c r="AL739" s="178"/>
      <c r="AM739" s="178"/>
      <c r="AN739" s="178"/>
      <c r="AO739" s="178"/>
      <c r="AP739" s="178"/>
      <c r="AQ739" s="178"/>
      <c r="AR739" s="178"/>
      <c r="AS739" s="178"/>
    </row>
    <row r="740" spans="1:45" s="21" customFormat="1" x14ac:dyDescent="0.4">
      <c r="A740" s="27"/>
      <c r="B740" s="59"/>
      <c r="C740" s="645"/>
      <c r="D740" s="131" t="s">
        <v>44</v>
      </c>
      <c r="F740" s="178"/>
      <c r="G740" s="178"/>
      <c r="H740" s="127"/>
      <c r="I740" s="178"/>
      <c r="J740" s="178"/>
      <c r="K740" s="178"/>
      <c r="L740" s="178"/>
      <c r="M740" s="178"/>
      <c r="N740" s="178"/>
      <c r="O740" s="178"/>
      <c r="P740" s="178"/>
      <c r="Q740" s="178"/>
      <c r="R740" s="178"/>
      <c r="S740" s="178"/>
      <c r="T740" s="178"/>
      <c r="U740" s="178"/>
      <c r="V740" s="410"/>
      <c r="Z740" s="178"/>
      <c r="AA740" s="178"/>
      <c r="AB740" s="178"/>
      <c r="AC740" s="178"/>
      <c r="AD740" s="178"/>
      <c r="AE740" s="178"/>
      <c r="AF740" s="178"/>
      <c r="AG740" s="178"/>
      <c r="AH740" s="178"/>
      <c r="AI740" s="178"/>
      <c r="AJ740" s="178"/>
      <c r="AK740" s="178"/>
      <c r="AL740" s="178"/>
      <c r="AM740" s="178"/>
      <c r="AN740" s="178"/>
      <c r="AO740" s="178"/>
      <c r="AP740" s="178"/>
      <c r="AQ740" s="178"/>
      <c r="AR740" s="178"/>
      <c r="AS740" s="178"/>
    </row>
    <row r="741" spans="1:45" s="21" customFormat="1" x14ac:dyDescent="0.4">
      <c r="A741" s="27"/>
      <c r="B741" s="645"/>
      <c r="C741" s="645"/>
      <c r="D741" s="131" t="s">
        <v>44</v>
      </c>
      <c r="F741" s="178"/>
      <c r="G741" s="178"/>
      <c r="H741" s="127"/>
      <c r="I741" s="178"/>
      <c r="J741" s="178"/>
      <c r="K741" s="178"/>
      <c r="L741" s="178"/>
      <c r="M741" s="178"/>
      <c r="N741" s="178"/>
      <c r="O741" s="178"/>
      <c r="P741" s="178"/>
      <c r="Q741" s="178"/>
      <c r="R741" s="178"/>
      <c r="S741" s="178"/>
      <c r="T741" s="178"/>
      <c r="U741" s="178"/>
      <c r="V741" s="410"/>
      <c r="Z741" s="178"/>
      <c r="AA741" s="178"/>
      <c r="AB741" s="178"/>
      <c r="AC741" s="178"/>
      <c r="AD741" s="178"/>
      <c r="AE741" s="178"/>
      <c r="AF741" s="178"/>
      <c r="AG741" s="178"/>
      <c r="AH741" s="178"/>
      <c r="AI741" s="178"/>
      <c r="AJ741" s="178"/>
      <c r="AK741" s="178"/>
      <c r="AL741" s="178"/>
      <c r="AM741" s="178"/>
      <c r="AN741" s="178"/>
      <c r="AO741" s="178"/>
      <c r="AP741" s="178"/>
      <c r="AQ741" s="178"/>
      <c r="AR741" s="178"/>
      <c r="AS741" s="178"/>
    </row>
    <row r="742" spans="1:45" s="21" customFormat="1" x14ac:dyDescent="0.4">
      <c r="A742" s="27"/>
      <c r="B742" s="645"/>
      <c r="C742" s="645"/>
      <c r="D742" s="131" t="s">
        <v>44</v>
      </c>
      <c r="F742" s="178"/>
      <c r="G742" s="178"/>
      <c r="H742" s="127"/>
      <c r="I742" s="178"/>
      <c r="J742" s="178"/>
      <c r="K742" s="178"/>
      <c r="L742" s="178"/>
      <c r="M742" s="178"/>
      <c r="N742" s="178"/>
      <c r="O742" s="178"/>
      <c r="P742" s="178"/>
      <c r="Q742" s="178"/>
      <c r="R742" s="178"/>
      <c r="S742" s="178"/>
      <c r="T742" s="178"/>
      <c r="U742" s="178"/>
      <c r="V742" s="410"/>
      <c r="Z742" s="178"/>
      <c r="AA742" s="178"/>
      <c r="AB742" s="178"/>
      <c r="AC742" s="178"/>
      <c r="AD742" s="178"/>
      <c r="AE742" s="178"/>
      <c r="AF742" s="178"/>
      <c r="AG742" s="178"/>
      <c r="AH742" s="178"/>
      <c r="AI742" s="178"/>
      <c r="AJ742" s="178"/>
      <c r="AK742" s="178"/>
      <c r="AL742" s="178"/>
      <c r="AM742" s="178"/>
      <c r="AN742" s="178"/>
      <c r="AO742" s="178"/>
      <c r="AP742" s="178"/>
      <c r="AQ742" s="178"/>
      <c r="AR742" s="178"/>
      <c r="AS742" s="178"/>
    </row>
    <row r="743" spans="1:45" s="21" customFormat="1" ht="15" customHeight="1" x14ac:dyDescent="0.4">
      <c r="A743" s="27"/>
      <c r="B743" s="645"/>
      <c r="C743" s="645"/>
      <c r="D743" s="131" t="s">
        <v>44</v>
      </c>
      <c r="F743" s="178"/>
      <c r="G743" s="178"/>
      <c r="H743" s="127"/>
      <c r="I743" s="178"/>
      <c r="J743" s="178"/>
      <c r="K743" s="178"/>
      <c r="L743" s="178"/>
      <c r="M743" s="178"/>
      <c r="N743" s="178"/>
      <c r="O743" s="178"/>
      <c r="P743" s="178"/>
      <c r="Q743" s="178"/>
      <c r="R743" s="178"/>
      <c r="S743" s="178"/>
      <c r="T743" s="178"/>
      <c r="U743" s="178"/>
      <c r="V743" s="410"/>
      <c r="Z743" s="178"/>
      <c r="AA743" s="178"/>
      <c r="AB743" s="178"/>
      <c r="AC743" s="178"/>
      <c r="AD743" s="178"/>
      <c r="AE743" s="178"/>
      <c r="AF743" s="178"/>
      <c r="AG743" s="178"/>
      <c r="AH743" s="178"/>
      <c r="AI743" s="178"/>
      <c r="AJ743" s="178"/>
      <c r="AK743" s="178"/>
      <c r="AL743" s="178"/>
      <c r="AM743" s="178"/>
      <c r="AN743" s="178"/>
      <c r="AO743" s="178"/>
      <c r="AP743" s="178"/>
      <c r="AQ743" s="178"/>
      <c r="AR743" s="178"/>
      <c r="AS743" s="178"/>
    </row>
    <row r="744" spans="1:45" s="21" customFormat="1" ht="15" customHeight="1" x14ac:dyDescent="0.4">
      <c r="A744" s="27"/>
      <c r="B744" s="645"/>
      <c r="C744" s="645"/>
      <c r="D744" s="131" t="s">
        <v>44</v>
      </c>
      <c r="F744" s="178"/>
      <c r="G744" s="178"/>
      <c r="H744" s="127"/>
      <c r="I744" s="178"/>
      <c r="J744" s="178"/>
      <c r="K744" s="178"/>
      <c r="L744" s="178"/>
      <c r="M744" s="178"/>
      <c r="N744" s="178"/>
      <c r="O744" s="178"/>
      <c r="P744" s="178"/>
      <c r="Q744" s="178"/>
      <c r="R744" s="178"/>
      <c r="S744" s="178"/>
      <c r="T744" s="178"/>
      <c r="U744" s="178"/>
      <c r="V744" s="410"/>
      <c r="Z744" s="178"/>
      <c r="AA744" s="178"/>
      <c r="AB744" s="178"/>
      <c r="AC744" s="178"/>
      <c r="AD744" s="178"/>
      <c r="AE744" s="178"/>
      <c r="AF744" s="178"/>
      <c r="AG744" s="178"/>
      <c r="AH744" s="178"/>
      <c r="AI744" s="178"/>
      <c r="AJ744" s="178"/>
      <c r="AK744" s="178"/>
      <c r="AL744" s="178"/>
      <c r="AM744" s="178"/>
      <c r="AN744" s="178"/>
      <c r="AO744" s="178"/>
      <c r="AP744" s="178"/>
      <c r="AQ744" s="178"/>
      <c r="AR744" s="178"/>
      <c r="AS744" s="178"/>
    </row>
    <row r="745" spans="1:45" s="21" customFormat="1" ht="15" customHeight="1" x14ac:dyDescent="0.4">
      <c r="A745" s="27"/>
      <c r="B745" s="645"/>
      <c r="C745" s="645"/>
      <c r="D745" s="131" t="s">
        <v>44</v>
      </c>
      <c r="F745" s="178"/>
      <c r="G745" s="178"/>
      <c r="H745" s="127"/>
      <c r="I745" s="178"/>
      <c r="J745" s="178"/>
      <c r="K745" s="178"/>
      <c r="L745" s="178"/>
      <c r="M745" s="178"/>
      <c r="N745" s="178"/>
      <c r="O745" s="178"/>
      <c r="P745" s="178"/>
      <c r="Q745" s="178"/>
      <c r="R745" s="178"/>
      <c r="S745" s="178"/>
      <c r="T745" s="178"/>
      <c r="U745" s="178"/>
      <c r="V745" s="410"/>
      <c r="Z745" s="178"/>
      <c r="AA745" s="178"/>
      <c r="AB745" s="178"/>
      <c r="AC745" s="178"/>
      <c r="AD745" s="178"/>
      <c r="AE745" s="178"/>
      <c r="AF745" s="178"/>
      <c r="AG745" s="178"/>
      <c r="AH745" s="178"/>
      <c r="AI745" s="178"/>
      <c r="AJ745" s="178"/>
      <c r="AK745" s="178"/>
      <c r="AL745" s="178"/>
      <c r="AM745" s="178"/>
      <c r="AN745" s="178"/>
      <c r="AO745" s="178"/>
      <c r="AP745" s="178"/>
      <c r="AQ745" s="178"/>
      <c r="AR745" s="178"/>
      <c r="AS745" s="178"/>
    </row>
    <row r="746" spans="1:45" s="21" customFormat="1" x14ac:dyDescent="0.4">
      <c r="A746" s="27"/>
      <c r="B746" s="645"/>
      <c r="C746" s="645"/>
      <c r="D746" s="131" t="s">
        <v>44</v>
      </c>
      <c r="F746" s="178"/>
      <c r="G746" s="178"/>
      <c r="H746" s="127"/>
      <c r="I746" s="178"/>
      <c r="J746" s="178"/>
      <c r="K746" s="178"/>
      <c r="L746" s="178"/>
      <c r="M746" s="178"/>
      <c r="N746" s="178"/>
      <c r="O746" s="178"/>
      <c r="P746" s="178"/>
      <c r="Q746" s="178"/>
      <c r="R746" s="178"/>
      <c r="S746" s="178"/>
      <c r="T746" s="178"/>
      <c r="U746" s="178"/>
      <c r="V746" s="410"/>
      <c r="Z746" s="178"/>
      <c r="AA746" s="178"/>
      <c r="AB746" s="178"/>
      <c r="AC746" s="178"/>
      <c r="AD746" s="178"/>
      <c r="AE746" s="178"/>
      <c r="AF746" s="178"/>
      <c r="AG746" s="178"/>
      <c r="AH746" s="178"/>
      <c r="AI746" s="178"/>
      <c r="AJ746" s="178"/>
      <c r="AK746" s="178"/>
      <c r="AL746" s="178"/>
      <c r="AM746" s="178"/>
      <c r="AN746" s="178"/>
      <c r="AO746" s="178"/>
      <c r="AP746" s="178"/>
      <c r="AQ746" s="178"/>
      <c r="AR746" s="178"/>
      <c r="AS746" s="178"/>
    </row>
    <row r="747" spans="1:45" s="21" customFormat="1" x14ac:dyDescent="0.4">
      <c r="A747" s="27"/>
      <c r="B747" s="645"/>
      <c r="C747" s="645"/>
      <c r="D747" s="131" t="s">
        <v>44</v>
      </c>
      <c r="F747" s="178"/>
      <c r="G747" s="178"/>
      <c r="H747" s="127"/>
      <c r="I747" s="178"/>
      <c r="J747" s="178"/>
      <c r="K747" s="178"/>
      <c r="L747" s="178"/>
      <c r="M747" s="178"/>
      <c r="N747" s="178"/>
      <c r="O747" s="178"/>
      <c r="P747" s="178"/>
      <c r="Q747" s="178"/>
      <c r="R747" s="178"/>
      <c r="S747" s="178"/>
      <c r="T747" s="178"/>
      <c r="U747" s="178"/>
      <c r="V747" s="410"/>
      <c r="Z747" s="178"/>
      <c r="AA747" s="178"/>
      <c r="AB747" s="178"/>
      <c r="AC747" s="178"/>
      <c r="AD747" s="178"/>
      <c r="AE747" s="178"/>
      <c r="AF747" s="178"/>
      <c r="AG747" s="178"/>
      <c r="AH747" s="178"/>
      <c r="AI747" s="178"/>
      <c r="AJ747" s="178"/>
      <c r="AK747" s="178"/>
      <c r="AL747" s="178"/>
      <c r="AM747" s="178"/>
      <c r="AN747" s="178"/>
      <c r="AO747" s="178"/>
      <c r="AP747" s="178"/>
      <c r="AQ747" s="178"/>
      <c r="AR747" s="178"/>
      <c r="AS747" s="178"/>
    </row>
    <row r="748" spans="1:45" s="21" customFormat="1" x14ac:dyDescent="0.4">
      <c r="A748" s="27"/>
      <c r="B748" s="645"/>
      <c r="C748" s="645"/>
      <c r="D748" s="131" t="s">
        <v>44</v>
      </c>
      <c r="F748" s="178"/>
      <c r="G748" s="178"/>
      <c r="H748" s="127"/>
      <c r="I748" s="178"/>
      <c r="J748" s="178"/>
      <c r="K748" s="178"/>
      <c r="L748" s="178"/>
      <c r="M748" s="178"/>
      <c r="N748" s="178"/>
      <c r="O748" s="178"/>
      <c r="P748" s="178"/>
      <c r="Q748" s="178"/>
      <c r="R748" s="178"/>
      <c r="S748" s="178"/>
      <c r="T748" s="178"/>
      <c r="U748" s="178"/>
      <c r="V748" s="410"/>
      <c r="Z748" s="178"/>
      <c r="AA748" s="178"/>
      <c r="AB748" s="178"/>
      <c r="AC748" s="178"/>
      <c r="AD748" s="178"/>
      <c r="AE748" s="178"/>
      <c r="AF748" s="178"/>
      <c r="AG748" s="178"/>
      <c r="AH748" s="178"/>
      <c r="AI748" s="178"/>
      <c r="AJ748" s="178"/>
      <c r="AK748" s="178"/>
      <c r="AL748" s="178"/>
      <c r="AM748" s="178"/>
      <c r="AN748" s="178"/>
      <c r="AO748" s="178"/>
      <c r="AP748" s="178"/>
      <c r="AQ748" s="178"/>
      <c r="AR748" s="178"/>
      <c r="AS748" s="178"/>
    </row>
    <row r="749" spans="1:45" s="21" customFormat="1" x14ac:dyDescent="0.4">
      <c r="A749" s="27"/>
      <c r="B749" s="645"/>
      <c r="C749" s="645"/>
      <c r="D749" s="131" t="s">
        <v>44</v>
      </c>
      <c r="F749" s="178"/>
      <c r="G749" s="178"/>
      <c r="H749" s="127"/>
      <c r="I749" s="178"/>
      <c r="J749" s="178"/>
      <c r="K749" s="178"/>
      <c r="L749" s="178"/>
      <c r="M749" s="178"/>
      <c r="N749" s="178"/>
      <c r="O749" s="178"/>
      <c r="P749" s="178"/>
      <c r="Q749" s="178"/>
      <c r="R749" s="178"/>
      <c r="S749" s="178"/>
      <c r="T749" s="178"/>
      <c r="U749" s="178"/>
      <c r="V749" s="410"/>
      <c r="Z749" s="178"/>
      <c r="AA749" s="178"/>
      <c r="AB749" s="178"/>
      <c r="AC749" s="178"/>
      <c r="AD749" s="178"/>
      <c r="AE749" s="178"/>
      <c r="AF749" s="178"/>
      <c r="AG749" s="178"/>
      <c r="AH749" s="178"/>
      <c r="AI749" s="178"/>
      <c r="AJ749" s="178"/>
      <c r="AK749" s="178"/>
      <c r="AL749" s="178"/>
      <c r="AM749" s="178"/>
      <c r="AN749" s="178"/>
      <c r="AO749" s="178"/>
      <c r="AP749" s="178"/>
      <c r="AQ749" s="178"/>
      <c r="AR749" s="178"/>
      <c r="AS749" s="178"/>
    </row>
    <row r="750" spans="1:45" s="21" customFormat="1" x14ac:dyDescent="0.4">
      <c r="A750" s="27"/>
      <c r="B750" s="645"/>
      <c r="C750" s="645"/>
      <c r="D750" s="131" t="s">
        <v>44</v>
      </c>
      <c r="F750" s="178"/>
      <c r="G750" s="178"/>
      <c r="H750" s="127"/>
      <c r="I750" s="178"/>
      <c r="J750" s="178"/>
      <c r="K750" s="178"/>
      <c r="L750" s="178"/>
      <c r="M750" s="178"/>
      <c r="N750" s="178"/>
      <c r="O750" s="178"/>
      <c r="P750" s="178"/>
      <c r="Q750" s="178"/>
      <c r="R750" s="178"/>
      <c r="S750" s="178"/>
      <c r="T750" s="178"/>
      <c r="U750" s="178"/>
      <c r="V750" s="410"/>
      <c r="Z750" s="178"/>
      <c r="AA750" s="178"/>
      <c r="AB750" s="178"/>
      <c r="AC750" s="178"/>
      <c r="AD750" s="178"/>
      <c r="AE750" s="178"/>
      <c r="AF750" s="178"/>
      <c r="AG750" s="178"/>
      <c r="AH750" s="178"/>
      <c r="AI750" s="178"/>
      <c r="AJ750" s="178"/>
      <c r="AK750" s="178"/>
      <c r="AL750" s="178"/>
      <c r="AM750" s="178"/>
      <c r="AN750" s="178"/>
      <c r="AO750" s="178"/>
      <c r="AP750" s="178"/>
      <c r="AQ750" s="178"/>
      <c r="AR750" s="178"/>
      <c r="AS750" s="178"/>
    </row>
    <row r="751" spans="1:45" s="21" customFormat="1" x14ac:dyDescent="0.4">
      <c r="A751" s="27"/>
      <c r="B751" s="645"/>
      <c r="C751" s="645"/>
      <c r="D751" s="131" t="s">
        <v>44</v>
      </c>
      <c r="F751" s="178"/>
      <c r="G751" s="178"/>
      <c r="H751" s="127"/>
      <c r="I751" s="178"/>
      <c r="J751" s="178"/>
      <c r="K751" s="178"/>
      <c r="L751" s="178"/>
      <c r="M751" s="178"/>
      <c r="N751" s="178"/>
      <c r="O751" s="178"/>
      <c r="P751" s="178"/>
      <c r="Q751" s="178"/>
      <c r="R751" s="178"/>
      <c r="S751" s="178"/>
      <c r="T751" s="178"/>
      <c r="U751" s="178"/>
      <c r="V751" s="410"/>
      <c r="Z751" s="178"/>
      <c r="AA751" s="178"/>
      <c r="AB751" s="178"/>
      <c r="AC751" s="178"/>
      <c r="AD751" s="178"/>
      <c r="AE751" s="178"/>
      <c r="AF751" s="178"/>
      <c r="AG751" s="178"/>
      <c r="AH751" s="178"/>
      <c r="AI751" s="178"/>
      <c r="AJ751" s="178"/>
      <c r="AK751" s="178"/>
      <c r="AL751" s="178"/>
      <c r="AM751" s="178"/>
      <c r="AN751" s="178"/>
      <c r="AO751" s="178"/>
      <c r="AP751" s="178"/>
      <c r="AQ751" s="178"/>
      <c r="AR751" s="178"/>
      <c r="AS751" s="178"/>
    </row>
    <row r="752" spans="1:45" s="21" customFormat="1" x14ac:dyDescent="0.4">
      <c r="A752" s="27"/>
      <c r="B752" s="645"/>
      <c r="C752" s="645"/>
      <c r="D752" s="131" t="s">
        <v>44</v>
      </c>
      <c r="F752" s="178"/>
      <c r="G752" s="178"/>
      <c r="H752" s="127"/>
      <c r="I752" s="178"/>
      <c r="J752" s="178"/>
      <c r="K752" s="178"/>
      <c r="L752" s="178"/>
      <c r="M752" s="178"/>
      <c r="N752" s="178"/>
      <c r="O752" s="178"/>
      <c r="P752" s="178"/>
      <c r="Q752" s="178"/>
      <c r="R752" s="178"/>
      <c r="S752" s="178"/>
      <c r="T752" s="178"/>
      <c r="U752" s="178"/>
      <c r="V752" s="410"/>
      <c r="Z752" s="178"/>
      <c r="AA752" s="178"/>
      <c r="AB752" s="178"/>
      <c r="AC752" s="178"/>
      <c r="AD752" s="178"/>
      <c r="AE752" s="178"/>
      <c r="AF752" s="178"/>
      <c r="AG752" s="178"/>
      <c r="AH752" s="178"/>
      <c r="AI752" s="178"/>
      <c r="AJ752" s="178"/>
      <c r="AK752" s="178"/>
      <c r="AL752" s="178"/>
      <c r="AM752" s="178"/>
      <c r="AN752" s="178"/>
      <c r="AO752" s="178"/>
      <c r="AP752" s="178"/>
      <c r="AQ752" s="178"/>
      <c r="AR752" s="178"/>
      <c r="AS752" s="178"/>
    </row>
    <row r="753" spans="1:45" s="21" customFormat="1" x14ac:dyDescent="0.4">
      <c r="A753" s="27"/>
      <c r="B753" s="645"/>
      <c r="C753" s="645"/>
      <c r="D753" s="131" t="s">
        <v>44</v>
      </c>
      <c r="F753" s="178"/>
      <c r="G753" s="178"/>
      <c r="H753" s="127"/>
      <c r="I753" s="178"/>
      <c r="J753" s="178"/>
      <c r="K753" s="178"/>
      <c r="L753" s="178"/>
      <c r="M753" s="178"/>
      <c r="N753" s="178"/>
      <c r="O753" s="178"/>
      <c r="P753" s="178"/>
      <c r="Q753" s="178"/>
      <c r="R753" s="178"/>
      <c r="S753" s="178"/>
      <c r="T753" s="178"/>
      <c r="U753" s="178"/>
      <c r="V753" s="410"/>
      <c r="Z753" s="178"/>
      <c r="AA753" s="178"/>
      <c r="AB753" s="178"/>
      <c r="AC753" s="178"/>
      <c r="AD753" s="178"/>
      <c r="AE753" s="178"/>
      <c r="AF753" s="178"/>
      <c r="AG753" s="178"/>
      <c r="AH753" s="178"/>
      <c r="AI753" s="178"/>
      <c r="AJ753" s="178"/>
      <c r="AK753" s="178"/>
      <c r="AL753" s="178"/>
      <c r="AM753" s="178"/>
      <c r="AN753" s="178"/>
      <c r="AO753" s="178"/>
      <c r="AP753" s="178"/>
      <c r="AQ753" s="178"/>
      <c r="AR753" s="178"/>
      <c r="AS753" s="178"/>
    </row>
    <row r="754" spans="1:45" s="21" customFormat="1" x14ac:dyDescent="0.4">
      <c r="A754" s="27"/>
      <c r="B754" s="645"/>
      <c r="C754" s="645"/>
      <c r="D754" s="131" t="s">
        <v>44</v>
      </c>
      <c r="F754" s="178"/>
      <c r="G754" s="178"/>
      <c r="H754" s="127"/>
      <c r="I754" s="178"/>
      <c r="J754" s="178"/>
      <c r="K754" s="178"/>
      <c r="L754" s="178"/>
      <c r="M754" s="178"/>
      <c r="N754" s="178"/>
      <c r="O754" s="178"/>
      <c r="P754" s="178"/>
      <c r="Q754" s="178"/>
      <c r="R754" s="178"/>
      <c r="S754" s="178"/>
      <c r="T754" s="178"/>
      <c r="U754" s="178"/>
      <c r="V754" s="410"/>
      <c r="Z754" s="178"/>
      <c r="AA754" s="178"/>
      <c r="AB754" s="178"/>
      <c r="AC754" s="178"/>
      <c r="AD754" s="178"/>
      <c r="AE754" s="178"/>
      <c r="AF754" s="178"/>
      <c r="AG754" s="178"/>
      <c r="AH754" s="178"/>
      <c r="AI754" s="178"/>
      <c r="AJ754" s="178"/>
      <c r="AK754" s="178"/>
      <c r="AL754" s="178"/>
      <c r="AM754" s="178"/>
      <c r="AN754" s="178"/>
      <c r="AO754" s="178"/>
      <c r="AP754" s="178"/>
      <c r="AQ754" s="178"/>
      <c r="AR754" s="178"/>
      <c r="AS754" s="178"/>
    </row>
    <row r="755" spans="1:45" s="21" customFormat="1" x14ac:dyDescent="0.4">
      <c r="A755" s="27"/>
      <c r="B755" s="645"/>
      <c r="C755" s="645"/>
      <c r="D755" s="131" t="s">
        <v>44</v>
      </c>
      <c r="F755" s="178"/>
      <c r="G755" s="178"/>
      <c r="H755" s="127"/>
      <c r="I755" s="178"/>
      <c r="J755" s="178"/>
      <c r="K755" s="178"/>
      <c r="L755" s="178"/>
      <c r="M755" s="178"/>
      <c r="N755" s="178"/>
      <c r="O755" s="178"/>
      <c r="P755" s="178"/>
      <c r="Q755" s="178"/>
      <c r="R755" s="178"/>
      <c r="S755" s="178"/>
      <c r="T755" s="178"/>
      <c r="U755" s="178"/>
      <c r="V755" s="410"/>
      <c r="Z755" s="178"/>
      <c r="AA755" s="178"/>
      <c r="AB755" s="178"/>
      <c r="AC755" s="178"/>
      <c r="AD755" s="178"/>
      <c r="AE755" s="178"/>
      <c r="AF755" s="178"/>
      <c r="AG755" s="178"/>
      <c r="AH755" s="178"/>
      <c r="AI755" s="178"/>
      <c r="AJ755" s="178"/>
      <c r="AK755" s="178"/>
      <c r="AL755" s="178"/>
      <c r="AM755" s="178"/>
      <c r="AN755" s="178"/>
      <c r="AO755" s="178"/>
      <c r="AP755" s="178"/>
      <c r="AQ755" s="178"/>
      <c r="AR755" s="178"/>
      <c r="AS755" s="178"/>
    </row>
    <row r="756" spans="1:45" s="21" customFormat="1" x14ac:dyDescent="0.4">
      <c r="A756" s="27"/>
      <c r="B756" s="645"/>
      <c r="C756" s="645"/>
      <c r="D756" s="131"/>
      <c r="F756" s="178"/>
      <c r="G756" s="178"/>
      <c r="H756" s="127"/>
      <c r="I756" s="178"/>
      <c r="J756" s="178"/>
      <c r="K756" s="178"/>
      <c r="L756" s="178"/>
      <c r="M756" s="178"/>
      <c r="N756" s="178"/>
      <c r="O756" s="178"/>
      <c r="P756" s="178"/>
      <c r="Q756" s="178"/>
      <c r="R756" s="178"/>
      <c r="S756" s="178"/>
      <c r="T756" s="178"/>
      <c r="U756" s="178"/>
      <c r="V756" s="410"/>
      <c r="Z756" s="178"/>
      <c r="AA756" s="178"/>
      <c r="AB756" s="178"/>
      <c r="AC756" s="178"/>
      <c r="AD756" s="178"/>
      <c r="AE756" s="178"/>
      <c r="AF756" s="178"/>
      <c r="AG756" s="178"/>
      <c r="AH756" s="178"/>
      <c r="AI756" s="178"/>
      <c r="AJ756" s="178"/>
      <c r="AK756" s="178"/>
      <c r="AL756" s="178"/>
      <c r="AM756" s="178"/>
      <c r="AN756" s="178"/>
      <c r="AO756" s="178"/>
      <c r="AP756" s="178"/>
      <c r="AQ756" s="178"/>
      <c r="AR756" s="178"/>
      <c r="AS756" s="178"/>
    </row>
    <row r="757" spans="1:45" s="752" customFormat="1" ht="27" customHeight="1" x14ac:dyDescent="0.4">
      <c r="A757" s="751"/>
      <c r="B757" s="751"/>
      <c r="C757" s="751"/>
      <c r="E757" s="752" t="str">
        <f>UPPER('Talnagögn | Numerical Data'!$E$5)</f>
        <v>SÖGULEG LOSUN</v>
      </c>
      <c r="F757" s="753"/>
      <c r="G757" s="753"/>
      <c r="H757" s="754"/>
      <c r="I757" s="753"/>
      <c r="J757" s="753"/>
      <c r="K757" s="753"/>
      <c r="L757" s="753"/>
      <c r="M757" s="753"/>
      <c r="N757" s="753"/>
      <c r="O757" s="753"/>
      <c r="P757" s="753"/>
      <c r="Q757" s="753"/>
      <c r="R757" s="753"/>
      <c r="S757" s="753"/>
      <c r="T757" s="753"/>
      <c r="U757" s="753"/>
      <c r="V757" s="755"/>
      <c r="Y757" s="752" t="str">
        <f>UPPER('Talnagögn | Numerical Data'!$G$5)</f>
        <v>HISTORICAL EMISSIONS</v>
      </c>
      <c r="Z757" s="753"/>
      <c r="AA757" s="753"/>
      <c r="AB757" s="753"/>
      <c r="AC757" s="753"/>
      <c r="AD757" s="753"/>
      <c r="AE757" s="753"/>
      <c r="AF757" s="753"/>
      <c r="AG757" s="753"/>
      <c r="AH757" s="753"/>
      <c r="AI757" s="753"/>
      <c r="AJ757" s="753"/>
      <c r="AK757" s="753"/>
      <c r="AL757" s="753"/>
      <c r="AM757" s="753"/>
      <c r="AN757" s="753"/>
      <c r="AO757" s="753"/>
      <c r="AP757" s="753"/>
      <c r="AQ757" s="753"/>
      <c r="AR757" s="753"/>
      <c r="AS757" s="753"/>
    </row>
    <row r="758" spans="1:45" s="21" customFormat="1" ht="18" customHeight="1" x14ac:dyDescent="0.4">
      <c r="A758" s="27"/>
      <c r="B758" s="645"/>
      <c r="C758" s="645"/>
      <c r="D758" s="131" t="s">
        <v>44</v>
      </c>
      <c r="F758" s="178"/>
      <c r="G758" s="178"/>
      <c r="H758" s="127"/>
      <c r="I758" s="178"/>
      <c r="J758" s="178"/>
      <c r="K758" s="178"/>
      <c r="L758" s="178"/>
      <c r="M758" s="178"/>
      <c r="N758" s="178"/>
      <c r="O758" s="178"/>
      <c r="P758" s="178"/>
      <c r="Q758" s="178"/>
      <c r="R758" s="178"/>
      <c r="S758" s="178"/>
      <c r="T758" s="178"/>
      <c r="U758" s="178"/>
      <c r="V758" s="410"/>
      <c r="Z758" s="178"/>
      <c r="AA758" s="178"/>
      <c r="AB758" s="178"/>
      <c r="AC758" s="178"/>
      <c r="AD758" s="178"/>
      <c r="AE758" s="178"/>
      <c r="AF758" s="178"/>
      <c r="AG758" s="178"/>
      <c r="AH758" s="178"/>
      <c r="AI758" s="178"/>
      <c r="AJ758" s="178"/>
      <c r="AK758" s="178"/>
      <c r="AL758" s="178"/>
      <c r="AM758" s="178"/>
      <c r="AN758" s="178"/>
      <c r="AO758" s="178"/>
      <c r="AP758" s="178"/>
      <c r="AQ758" s="178"/>
      <c r="AR758" s="178"/>
      <c r="AS758" s="178"/>
    </row>
    <row r="759" spans="1:45" s="21" customFormat="1" x14ac:dyDescent="0.4">
      <c r="A759" s="27"/>
      <c r="B759" s="645"/>
      <c r="C759" s="645"/>
      <c r="D759" s="131" t="s">
        <v>44</v>
      </c>
      <c r="F759" s="178"/>
      <c r="G759" s="178"/>
      <c r="H759" s="127"/>
      <c r="I759" s="178"/>
      <c r="J759" s="178"/>
      <c r="K759" s="178"/>
      <c r="L759" s="178"/>
      <c r="M759" s="178"/>
      <c r="N759" s="178"/>
      <c r="O759" s="178"/>
      <c r="P759" s="178"/>
      <c r="Q759" s="178"/>
      <c r="R759" s="178"/>
      <c r="S759" s="178"/>
      <c r="T759" s="178"/>
      <c r="U759" s="178"/>
      <c r="V759" s="410"/>
      <c r="Z759" s="178"/>
      <c r="AA759" s="178"/>
      <c r="AB759" s="178"/>
      <c r="AC759" s="178"/>
      <c r="AD759" s="178"/>
      <c r="AE759" s="178"/>
      <c r="AF759" s="178"/>
      <c r="AG759" s="178"/>
      <c r="AH759" s="178"/>
      <c r="AI759" s="178"/>
      <c r="AJ759" s="178"/>
      <c r="AK759" s="178"/>
      <c r="AL759" s="178"/>
      <c r="AM759" s="178"/>
      <c r="AN759" s="178"/>
      <c r="AO759" s="178"/>
      <c r="AP759" s="178"/>
      <c r="AQ759" s="178"/>
      <c r="AR759" s="178"/>
      <c r="AS759" s="178"/>
    </row>
    <row r="760" spans="1:45" s="21" customFormat="1" x14ac:dyDescent="0.4">
      <c r="A760" s="27"/>
      <c r="B760" s="645"/>
      <c r="C760" s="645"/>
      <c r="D760" s="131" t="s">
        <v>44</v>
      </c>
      <c r="F760" s="178"/>
      <c r="G760" s="178"/>
      <c r="H760" s="127"/>
      <c r="I760" s="178"/>
      <c r="J760" s="178"/>
      <c r="K760" s="178"/>
      <c r="L760" s="178"/>
      <c r="M760" s="178"/>
      <c r="N760" s="178"/>
      <c r="O760" s="178"/>
      <c r="P760" s="178"/>
      <c r="Q760" s="178"/>
      <c r="R760" s="178"/>
      <c r="S760" s="178"/>
      <c r="T760" s="178"/>
      <c r="U760" s="178"/>
      <c r="V760" s="410"/>
      <c r="Z760" s="178"/>
      <c r="AA760" s="178"/>
      <c r="AB760" s="178"/>
      <c r="AC760" s="178"/>
      <c r="AD760" s="178"/>
      <c r="AE760" s="178"/>
      <c r="AF760" s="178"/>
      <c r="AG760" s="178"/>
      <c r="AH760" s="178"/>
      <c r="AI760" s="178"/>
      <c r="AJ760" s="178"/>
      <c r="AK760" s="178"/>
      <c r="AL760" s="178"/>
      <c r="AM760" s="178"/>
      <c r="AN760" s="178"/>
      <c r="AO760" s="178"/>
      <c r="AP760" s="178"/>
      <c r="AQ760" s="178"/>
      <c r="AR760" s="178"/>
      <c r="AS760" s="178"/>
    </row>
    <row r="761" spans="1:45" s="21" customFormat="1" x14ac:dyDescent="0.4">
      <c r="A761" s="27"/>
      <c r="B761" s="645"/>
      <c r="C761" s="645"/>
      <c r="D761" s="131" t="s">
        <v>44</v>
      </c>
      <c r="F761" s="178"/>
      <c r="G761" s="178"/>
      <c r="H761" s="127"/>
      <c r="I761" s="178"/>
      <c r="J761" s="178"/>
      <c r="K761" s="178"/>
      <c r="L761" s="178"/>
      <c r="M761" s="178"/>
      <c r="N761" s="178"/>
      <c r="O761" s="178"/>
      <c r="P761" s="178"/>
      <c r="Q761" s="178"/>
      <c r="R761" s="178"/>
      <c r="S761" s="178"/>
      <c r="T761" s="178"/>
      <c r="U761" s="178"/>
      <c r="V761" s="410"/>
      <c r="Z761" s="178"/>
      <c r="AA761" s="178"/>
      <c r="AB761" s="178"/>
      <c r="AC761" s="178"/>
      <c r="AD761" s="178"/>
      <c r="AE761" s="178"/>
      <c r="AF761" s="178"/>
      <c r="AG761" s="178"/>
      <c r="AH761" s="178"/>
      <c r="AI761" s="178"/>
      <c r="AJ761" s="178"/>
      <c r="AK761" s="178"/>
      <c r="AL761" s="178"/>
      <c r="AM761" s="178"/>
      <c r="AN761" s="178"/>
      <c r="AO761" s="178"/>
      <c r="AP761" s="178"/>
      <c r="AQ761" s="178"/>
      <c r="AR761" s="178"/>
      <c r="AS761" s="178"/>
    </row>
    <row r="762" spans="1:45" s="21" customFormat="1" x14ac:dyDescent="0.4">
      <c r="A762" s="27"/>
      <c r="B762" s="645"/>
      <c r="C762" s="645"/>
      <c r="D762" s="131" t="s">
        <v>44</v>
      </c>
      <c r="F762" s="178"/>
      <c r="G762" s="178"/>
      <c r="H762" s="127"/>
      <c r="I762" s="178"/>
      <c r="J762" s="178"/>
      <c r="K762" s="178"/>
      <c r="L762" s="178"/>
      <c r="M762" s="178"/>
      <c r="N762" s="178"/>
      <c r="O762" s="178"/>
      <c r="P762" s="178"/>
      <c r="Q762" s="178"/>
      <c r="R762" s="178"/>
      <c r="S762" s="178"/>
      <c r="T762" s="178"/>
      <c r="U762" s="178"/>
      <c r="V762" s="410"/>
      <c r="Z762" s="178"/>
      <c r="AA762" s="178"/>
      <c r="AB762" s="178"/>
      <c r="AC762" s="178"/>
      <c r="AD762" s="178"/>
      <c r="AE762" s="178"/>
      <c r="AF762" s="178"/>
      <c r="AG762" s="178"/>
      <c r="AH762" s="178"/>
      <c r="AI762" s="178"/>
      <c r="AJ762" s="178"/>
      <c r="AK762" s="178"/>
      <c r="AL762" s="178"/>
      <c r="AM762" s="178"/>
      <c r="AN762" s="178"/>
      <c r="AO762" s="178"/>
      <c r="AP762" s="178"/>
      <c r="AQ762" s="178"/>
      <c r="AR762" s="178"/>
      <c r="AS762" s="178"/>
    </row>
    <row r="763" spans="1:45" s="21" customFormat="1" x14ac:dyDescent="0.4">
      <c r="A763" s="27"/>
      <c r="B763" s="645"/>
      <c r="C763" s="645"/>
      <c r="D763" s="131" t="s">
        <v>44</v>
      </c>
      <c r="F763" s="178"/>
      <c r="G763" s="178"/>
      <c r="H763" s="127"/>
      <c r="I763" s="178"/>
      <c r="J763" s="178"/>
      <c r="K763" s="178"/>
      <c r="L763" s="178"/>
      <c r="M763" s="178"/>
      <c r="N763" s="178"/>
      <c r="O763" s="178"/>
      <c r="P763" s="178"/>
      <c r="Q763" s="178"/>
      <c r="R763" s="178"/>
      <c r="S763" s="178"/>
      <c r="T763" s="178"/>
      <c r="U763" s="178"/>
      <c r="V763" s="410"/>
      <c r="Z763" s="178"/>
      <c r="AA763" s="178"/>
      <c r="AB763" s="178"/>
      <c r="AC763" s="178"/>
      <c r="AD763" s="178"/>
      <c r="AE763" s="178"/>
      <c r="AF763" s="178"/>
      <c r="AG763" s="178"/>
      <c r="AH763" s="178"/>
      <c r="AI763" s="178"/>
      <c r="AJ763" s="178"/>
      <c r="AK763" s="178"/>
      <c r="AL763" s="178"/>
      <c r="AM763" s="178"/>
      <c r="AN763" s="178"/>
      <c r="AO763" s="178"/>
      <c r="AP763" s="178"/>
      <c r="AQ763" s="178"/>
      <c r="AR763" s="178"/>
      <c r="AS763" s="178"/>
    </row>
    <row r="764" spans="1:45" s="21" customFormat="1" x14ac:dyDescent="0.4">
      <c r="A764" s="27"/>
      <c r="B764" s="645"/>
      <c r="C764" s="645"/>
      <c r="D764" s="131" t="s">
        <v>44</v>
      </c>
      <c r="F764" s="178"/>
      <c r="G764" s="178"/>
      <c r="H764" s="127"/>
      <c r="I764" s="178"/>
      <c r="J764" s="178"/>
      <c r="K764" s="178"/>
      <c r="L764" s="178"/>
      <c r="M764" s="178"/>
      <c r="N764" s="178"/>
      <c r="O764" s="178"/>
      <c r="P764" s="178"/>
      <c r="Q764" s="178"/>
      <c r="R764" s="178"/>
      <c r="S764" s="178"/>
      <c r="T764" s="178"/>
      <c r="U764" s="178"/>
      <c r="V764" s="410"/>
      <c r="Z764" s="178"/>
      <c r="AA764" s="178"/>
      <c r="AB764" s="178"/>
      <c r="AC764" s="178"/>
      <c r="AD764" s="178"/>
      <c r="AE764" s="178"/>
      <c r="AF764" s="178"/>
      <c r="AG764" s="178"/>
      <c r="AH764" s="178"/>
      <c r="AI764" s="178"/>
      <c r="AJ764" s="178"/>
      <c r="AK764" s="178"/>
      <c r="AL764" s="178"/>
      <c r="AM764" s="178"/>
      <c r="AN764" s="178"/>
      <c r="AO764" s="178"/>
      <c r="AP764" s="178"/>
      <c r="AQ764" s="178"/>
      <c r="AR764" s="178"/>
      <c r="AS764" s="178"/>
    </row>
    <row r="765" spans="1:45" s="21" customFormat="1" x14ac:dyDescent="0.4">
      <c r="A765" s="27"/>
      <c r="B765" s="645"/>
      <c r="C765" s="645"/>
      <c r="D765" s="131" t="s">
        <v>44</v>
      </c>
      <c r="F765" s="178"/>
      <c r="G765" s="178"/>
      <c r="H765" s="127"/>
      <c r="I765" s="178"/>
      <c r="J765" s="178"/>
      <c r="K765" s="178"/>
      <c r="L765" s="178"/>
      <c r="M765" s="178"/>
      <c r="N765" s="178"/>
      <c r="O765" s="178"/>
      <c r="P765" s="178"/>
      <c r="Q765" s="178"/>
      <c r="R765" s="178"/>
      <c r="S765" s="178"/>
      <c r="T765" s="178"/>
      <c r="U765" s="178"/>
      <c r="V765" s="410"/>
      <c r="Z765" s="178"/>
      <c r="AA765" s="178"/>
      <c r="AB765" s="178"/>
      <c r="AC765" s="178"/>
      <c r="AD765" s="178"/>
      <c r="AE765" s="178"/>
      <c r="AF765" s="178"/>
      <c r="AG765" s="178"/>
      <c r="AH765" s="178"/>
      <c r="AI765" s="178"/>
      <c r="AJ765" s="178"/>
      <c r="AK765" s="178"/>
      <c r="AL765" s="178"/>
      <c r="AM765" s="178"/>
      <c r="AN765" s="178"/>
      <c r="AO765" s="178"/>
      <c r="AP765" s="178"/>
      <c r="AQ765" s="178"/>
      <c r="AR765" s="178"/>
      <c r="AS765" s="178"/>
    </row>
    <row r="766" spans="1:45" s="21" customFormat="1" x14ac:dyDescent="0.4">
      <c r="A766" s="27"/>
      <c r="B766" s="645"/>
      <c r="C766" s="645"/>
      <c r="D766" s="131" t="s">
        <v>44</v>
      </c>
      <c r="F766" s="178"/>
      <c r="G766" s="178"/>
      <c r="H766" s="127"/>
      <c r="I766" s="178"/>
      <c r="J766" s="178"/>
      <c r="K766" s="178"/>
      <c r="L766" s="178"/>
      <c r="M766" s="178"/>
      <c r="N766" s="178"/>
      <c r="O766" s="178"/>
      <c r="P766" s="178"/>
      <c r="Q766" s="178"/>
      <c r="R766" s="178"/>
      <c r="S766" s="178"/>
      <c r="T766" s="178"/>
      <c r="U766" s="178"/>
      <c r="V766" s="410"/>
      <c r="Z766" s="178"/>
      <c r="AA766" s="178"/>
      <c r="AB766" s="178"/>
      <c r="AC766" s="178"/>
      <c r="AD766" s="178"/>
      <c r="AE766" s="178"/>
      <c r="AF766" s="178"/>
      <c r="AG766" s="178"/>
      <c r="AH766" s="178"/>
      <c r="AI766" s="178"/>
      <c r="AJ766" s="178"/>
      <c r="AK766" s="178"/>
      <c r="AL766" s="178"/>
      <c r="AM766" s="178"/>
      <c r="AN766" s="178"/>
      <c r="AO766" s="178"/>
      <c r="AP766" s="178"/>
      <c r="AQ766" s="178"/>
      <c r="AR766" s="178"/>
      <c r="AS766" s="178"/>
    </row>
    <row r="767" spans="1:45" s="21" customFormat="1" x14ac:dyDescent="0.4">
      <c r="A767" s="27"/>
      <c r="B767" s="645"/>
      <c r="C767" s="645"/>
      <c r="D767" s="131" t="s">
        <v>44</v>
      </c>
      <c r="F767" s="178"/>
      <c r="G767" s="178"/>
      <c r="H767" s="127"/>
      <c r="I767" s="178"/>
      <c r="J767" s="178"/>
      <c r="K767" s="178"/>
      <c r="L767" s="178"/>
      <c r="M767" s="178"/>
      <c r="N767" s="178"/>
      <c r="O767" s="178"/>
      <c r="P767" s="178"/>
      <c r="Q767" s="178"/>
      <c r="R767" s="178"/>
      <c r="S767" s="178"/>
      <c r="T767" s="178"/>
      <c r="U767" s="178"/>
      <c r="V767" s="410"/>
      <c r="Z767" s="178"/>
      <c r="AA767" s="178"/>
      <c r="AB767" s="178"/>
      <c r="AC767" s="178"/>
      <c r="AD767" s="178"/>
      <c r="AE767" s="178"/>
      <c r="AF767" s="178"/>
      <c r="AG767" s="178"/>
      <c r="AH767" s="178"/>
      <c r="AI767" s="178"/>
      <c r="AJ767" s="178"/>
      <c r="AK767" s="178"/>
      <c r="AL767" s="178"/>
      <c r="AM767" s="178"/>
      <c r="AN767" s="178"/>
      <c r="AO767" s="178"/>
      <c r="AP767" s="178"/>
      <c r="AQ767" s="178"/>
      <c r="AR767" s="178"/>
      <c r="AS767" s="178"/>
    </row>
    <row r="768" spans="1:45" s="21" customFormat="1" ht="15" customHeight="1" x14ac:dyDescent="0.4">
      <c r="A768" s="27"/>
      <c r="B768" s="645"/>
      <c r="C768" s="645"/>
      <c r="D768" s="131" t="s">
        <v>44</v>
      </c>
      <c r="F768" s="178"/>
      <c r="G768" s="178"/>
      <c r="H768" s="127"/>
      <c r="I768" s="178"/>
      <c r="J768" s="178"/>
      <c r="K768" s="178"/>
      <c r="L768" s="178"/>
      <c r="M768" s="178"/>
      <c r="N768" s="178"/>
      <c r="O768" s="178"/>
      <c r="P768" s="178"/>
      <c r="Q768" s="178"/>
      <c r="R768" s="178"/>
      <c r="S768" s="178"/>
      <c r="T768" s="178"/>
      <c r="U768" s="178"/>
      <c r="V768" s="410"/>
      <c r="Z768" s="178"/>
      <c r="AA768" s="178"/>
      <c r="AB768" s="178"/>
      <c r="AC768" s="178"/>
      <c r="AD768" s="178"/>
      <c r="AE768" s="178"/>
      <c r="AF768" s="178"/>
      <c r="AG768" s="178"/>
      <c r="AH768" s="178"/>
      <c r="AI768" s="178"/>
      <c r="AJ768" s="178"/>
      <c r="AK768" s="178"/>
      <c r="AL768" s="178"/>
      <c r="AM768" s="178"/>
      <c r="AN768" s="178"/>
      <c r="AO768" s="178"/>
      <c r="AP768" s="178"/>
      <c r="AQ768" s="178"/>
      <c r="AR768" s="178"/>
      <c r="AS768" s="178"/>
    </row>
    <row r="769" spans="1:45" s="21" customFormat="1" ht="15" customHeight="1" x14ac:dyDescent="0.4">
      <c r="A769" s="27"/>
      <c r="B769" s="645"/>
      <c r="C769" s="645"/>
      <c r="D769" s="131" t="s">
        <v>44</v>
      </c>
      <c r="F769" s="178"/>
      <c r="G769" s="178"/>
      <c r="H769" s="127"/>
      <c r="I769" s="178"/>
      <c r="J769" s="178"/>
      <c r="K769" s="178"/>
      <c r="L769" s="178"/>
      <c r="M769" s="178"/>
      <c r="N769" s="178"/>
      <c r="O769" s="178"/>
      <c r="P769" s="178"/>
      <c r="Q769" s="178"/>
      <c r="R769" s="178"/>
      <c r="S769" s="178"/>
      <c r="T769" s="178"/>
      <c r="U769" s="178"/>
      <c r="V769" s="410"/>
      <c r="Z769" s="178"/>
      <c r="AA769" s="178"/>
      <c r="AB769" s="178"/>
      <c r="AC769" s="178"/>
      <c r="AD769" s="178"/>
      <c r="AE769" s="178"/>
      <c r="AF769" s="178"/>
      <c r="AG769" s="178"/>
      <c r="AH769" s="178"/>
      <c r="AI769" s="178"/>
      <c r="AJ769" s="178"/>
      <c r="AK769" s="178"/>
      <c r="AL769" s="178"/>
      <c r="AM769" s="178"/>
      <c r="AN769" s="178"/>
      <c r="AO769" s="178"/>
      <c r="AP769" s="178"/>
      <c r="AQ769" s="178"/>
      <c r="AR769" s="178"/>
      <c r="AS769" s="178"/>
    </row>
    <row r="770" spans="1:45" s="21" customFormat="1" ht="15" customHeight="1" x14ac:dyDescent="0.4">
      <c r="A770" s="27"/>
      <c r="B770" s="645"/>
      <c r="C770" s="645"/>
      <c r="D770" s="131" t="s">
        <v>44</v>
      </c>
      <c r="F770" s="178"/>
      <c r="G770" s="178"/>
      <c r="H770" s="127"/>
      <c r="I770" s="178"/>
      <c r="J770" s="178"/>
      <c r="K770" s="178"/>
      <c r="L770" s="178"/>
      <c r="M770" s="178"/>
      <c r="N770" s="178"/>
      <c r="O770" s="178"/>
      <c r="P770" s="178"/>
      <c r="Q770" s="178"/>
      <c r="R770" s="178"/>
      <c r="S770" s="178"/>
      <c r="T770" s="178"/>
      <c r="U770" s="178"/>
      <c r="V770" s="410"/>
      <c r="Z770" s="178"/>
      <c r="AA770" s="178"/>
      <c r="AB770" s="178"/>
      <c r="AC770" s="178"/>
      <c r="AD770" s="178"/>
      <c r="AE770" s="178"/>
      <c r="AF770" s="178"/>
      <c r="AG770" s="178"/>
      <c r="AH770" s="178"/>
      <c r="AI770" s="178"/>
      <c r="AJ770" s="178"/>
      <c r="AK770" s="178"/>
      <c r="AL770" s="178"/>
      <c r="AM770" s="178"/>
      <c r="AN770" s="178"/>
      <c r="AO770" s="178"/>
      <c r="AP770" s="178"/>
      <c r="AQ770" s="178"/>
      <c r="AR770" s="178"/>
      <c r="AS770" s="178"/>
    </row>
    <row r="771" spans="1:45" s="21" customFormat="1" x14ac:dyDescent="0.4">
      <c r="A771" s="27"/>
      <c r="B771" s="645"/>
      <c r="C771" s="645"/>
      <c r="D771" s="131" t="s">
        <v>44</v>
      </c>
      <c r="F771" s="178"/>
      <c r="G771" s="178"/>
      <c r="H771" s="127"/>
      <c r="I771" s="178"/>
      <c r="J771" s="178"/>
      <c r="K771" s="178"/>
      <c r="L771" s="178"/>
      <c r="M771" s="178"/>
      <c r="N771" s="178"/>
      <c r="O771" s="178"/>
      <c r="P771" s="178"/>
      <c r="Q771" s="178"/>
      <c r="R771" s="178"/>
      <c r="S771" s="178"/>
      <c r="T771" s="178"/>
      <c r="U771" s="178"/>
      <c r="V771" s="410"/>
      <c r="Z771" s="178"/>
      <c r="AA771" s="178"/>
      <c r="AB771" s="178"/>
      <c r="AC771" s="178"/>
      <c r="AD771" s="178"/>
      <c r="AE771" s="178"/>
      <c r="AF771" s="178"/>
      <c r="AG771" s="178"/>
      <c r="AH771" s="178"/>
      <c r="AI771" s="178"/>
      <c r="AJ771" s="178"/>
      <c r="AK771" s="178"/>
      <c r="AL771" s="178"/>
      <c r="AM771" s="178"/>
      <c r="AN771" s="178"/>
      <c r="AO771" s="178"/>
      <c r="AP771" s="178"/>
      <c r="AQ771" s="178"/>
      <c r="AR771" s="178"/>
      <c r="AS771" s="178"/>
    </row>
    <row r="772" spans="1:45" s="21" customFormat="1" x14ac:dyDescent="0.4">
      <c r="A772" s="27"/>
      <c r="B772" s="645"/>
      <c r="C772" s="645"/>
      <c r="D772" s="131" t="s">
        <v>44</v>
      </c>
      <c r="F772" s="178"/>
      <c r="G772" s="178"/>
      <c r="H772" s="127"/>
      <c r="I772" s="178"/>
      <c r="J772" s="178"/>
      <c r="K772" s="178"/>
      <c r="L772" s="178"/>
      <c r="M772" s="178"/>
      <c r="N772" s="178"/>
      <c r="O772" s="178"/>
      <c r="P772" s="178"/>
      <c r="Q772" s="178"/>
      <c r="R772" s="178"/>
      <c r="S772" s="178"/>
      <c r="T772" s="178"/>
      <c r="U772" s="178"/>
      <c r="V772" s="410"/>
      <c r="Z772" s="178"/>
      <c r="AA772" s="178"/>
      <c r="AB772" s="178"/>
      <c r="AC772" s="178"/>
      <c r="AD772" s="178"/>
      <c r="AE772" s="178"/>
      <c r="AF772" s="178"/>
      <c r="AG772" s="178"/>
      <c r="AH772" s="178"/>
      <c r="AI772" s="178"/>
      <c r="AJ772" s="178"/>
      <c r="AK772" s="178"/>
      <c r="AL772" s="178"/>
      <c r="AM772" s="178"/>
      <c r="AN772" s="178"/>
      <c r="AO772" s="178"/>
      <c r="AP772" s="178"/>
      <c r="AQ772" s="178"/>
      <c r="AR772" s="178"/>
      <c r="AS772" s="178"/>
    </row>
    <row r="773" spans="1:45" s="21" customFormat="1" x14ac:dyDescent="0.4">
      <c r="A773" s="27"/>
      <c r="B773" s="645"/>
      <c r="C773" s="645"/>
      <c r="D773" s="131" t="s">
        <v>44</v>
      </c>
      <c r="F773" s="178"/>
      <c r="G773" s="178"/>
      <c r="H773" s="127"/>
      <c r="I773" s="178"/>
      <c r="J773" s="178"/>
      <c r="K773" s="178"/>
      <c r="L773" s="178"/>
      <c r="M773" s="178"/>
      <c r="N773" s="178"/>
      <c r="O773" s="178"/>
      <c r="P773" s="178"/>
      <c r="Q773" s="178"/>
      <c r="R773" s="178"/>
      <c r="S773" s="178"/>
      <c r="T773" s="178"/>
      <c r="U773" s="178"/>
      <c r="V773" s="410"/>
      <c r="Z773" s="178"/>
      <c r="AA773" s="178"/>
      <c r="AB773" s="178"/>
      <c r="AC773" s="178"/>
      <c r="AD773" s="178"/>
      <c r="AE773" s="178"/>
      <c r="AF773" s="178"/>
      <c r="AG773" s="178"/>
      <c r="AH773" s="178"/>
      <c r="AI773" s="178"/>
      <c r="AJ773" s="178"/>
      <c r="AK773" s="178"/>
      <c r="AL773" s="178"/>
      <c r="AM773" s="178"/>
      <c r="AN773" s="178"/>
      <c r="AO773" s="178"/>
      <c r="AP773" s="178"/>
      <c r="AQ773" s="178"/>
      <c r="AR773" s="178"/>
      <c r="AS773" s="178"/>
    </row>
    <row r="774" spans="1:45" s="21" customFormat="1" x14ac:dyDescent="0.4">
      <c r="A774" s="27"/>
      <c r="B774" s="645"/>
      <c r="C774" s="645"/>
      <c r="D774" s="131" t="s">
        <v>44</v>
      </c>
      <c r="F774" s="178"/>
      <c r="G774" s="178"/>
      <c r="H774" s="127"/>
      <c r="I774" s="178"/>
      <c r="J774" s="178"/>
      <c r="K774" s="178"/>
      <c r="L774" s="178"/>
      <c r="M774" s="178"/>
      <c r="N774" s="178"/>
      <c r="O774" s="178"/>
      <c r="P774" s="178"/>
      <c r="Q774" s="178"/>
      <c r="R774" s="178"/>
      <c r="S774" s="178"/>
      <c r="T774" s="178"/>
      <c r="U774" s="178"/>
      <c r="V774" s="410"/>
      <c r="Z774" s="178"/>
      <c r="AA774" s="178"/>
      <c r="AB774" s="178"/>
      <c r="AC774" s="178"/>
      <c r="AD774" s="178"/>
      <c r="AE774" s="178"/>
      <c r="AF774" s="178"/>
      <c r="AG774" s="178"/>
      <c r="AH774" s="178"/>
      <c r="AI774" s="178"/>
      <c r="AJ774" s="178"/>
      <c r="AK774" s="178"/>
      <c r="AL774" s="178"/>
      <c r="AM774" s="178"/>
      <c r="AN774" s="178"/>
      <c r="AO774" s="178"/>
      <c r="AP774" s="178"/>
      <c r="AQ774" s="178"/>
      <c r="AR774" s="178"/>
      <c r="AS774" s="178"/>
    </row>
    <row r="775" spans="1:45" s="21" customFormat="1" x14ac:dyDescent="0.4">
      <c r="A775" s="27"/>
      <c r="B775" s="645"/>
      <c r="C775" s="645"/>
      <c r="D775" s="131" t="s">
        <v>44</v>
      </c>
      <c r="F775" s="178"/>
      <c r="G775" s="178"/>
      <c r="H775" s="127"/>
      <c r="I775" s="178"/>
      <c r="J775" s="178"/>
      <c r="K775" s="178"/>
      <c r="L775" s="178"/>
      <c r="M775" s="178"/>
      <c r="N775" s="178"/>
      <c r="O775" s="178"/>
      <c r="P775" s="178"/>
      <c r="Q775" s="178"/>
      <c r="R775" s="178"/>
      <c r="S775" s="178"/>
      <c r="T775" s="178"/>
      <c r="U775" s="178"/>
      <c r="V775" s="410"/>
      <c r="Z775" s="178"/>
      <c r="AA775" s="178"/>
      <c r="AB775" s="178"/>
      <c r="AC775" s="178"/>
      <c r="AD775" s="178"/>
      <c r="AE775" s="178"/>
      <c r="AF775" s="178"/>
      <c r="AG775" s="178"/>
      <c r="AH775" s="178"/>
      <c r="AI775" s="178"/>
      <c r="AJ775" s="178"/>
      <c r="AK775" s="178"/>
      <c r="AL775" s="178"/>
      <c r="AM775" s="178"/>
      <c r="AN775" s="178"/>
      <c r="AO775" s="178"/>
      <c r="AP775" s="178"/>
      <c r="AQ775" s="178"/>
      <c r="AR775" s="178"/>
      <c r="AS775" s="178"/>
    </row>
    <row r="776" spans="1:45" s="21" customFormat="1" x14ac:dyDescent="0.4">
      <c r="A776" s="27"/>
      <c r="B776" s="645"/>
      <c r="C776" s="645"/>
      <c r="D776" s="131" t="s">
        <v>44</v>
      </c>
      <c r="F776" s="178"/>
      <c r="G776" s="178"/>
      <c r="H776" s="127"/>
      <c r="I776" s="178"/>
      <c r="J776" s="178"/>
      <c r="K776" s="178"/>
      <c r="L776" s="178"/>
      <c r="M776" s="178"/>
      <c r="N776" s="178"/>
      <c r="O776" s="178"/>
      <c r="P776" s="178"/>
      <c r="Q776" s="178"/>
      <c r="R776" s="178"/>
      <c r="S776" s="178"/>
      <c r="T776" s="178"/>
      <c r="U776" s="178"/>
      <c r="V776" s="410"/>
      <c r="Z776" s="178"/>
      <c r="AA776" s="178"/>
      <c r="AB776" s="178"/>
      <c r="AC776" s="178"/>
      <c r="AD776" s="178"/>
      <c r="AE776" s="178"/>
      <c r="AF776" s="178"/>
      <c r="AG776" s="178"/>
      <c r="AH776" s="178"/>
      <c r="AI776" s="178"/>
      <c r="AJ776" s="178"/>
      <c r="AK776" s="178"/>
      <c r="AL776" s="178"/>
      <c r="AM776" s="178"/>
      <c r="AN776" s="178"/>
      <c r="AO776" s="178"/>
      <c r="AP776" s="178"/>
      <c r="AQ776" s="178"/>
      <c r="AR776" s="178"/>
      <c r="AS776" s="178"/>
    </row>
    <row r="777" spans="1:45" s="21" customFormat="1" x14ac:dyDescent="0.4">
      <c r="A777" s="27"/>
      <c r="B777" s="645"/>
      <c r="C777" s="645"/>
      <c r="D777" s="131" t="s">
        <v>44</v>
      </c>
      <c r="F777" s="178"/>
      <c r="G777" s="178"/>
      <c r="H777" s="127"/>
      <c r="I777" s="178"/>
      <c r="J777" s="178"/>
      <c r="K777" s="178"/>
      <c r="L777" s="178"/>
      <c r="M777" s="178"/>
      <c r="N777" s="178"/>
      <c r="O777" s="178"/>
      <c r="P777" s="178"/>
      <c r="Q777" s="178"/>
      <c r="R777" s="178"/>
      <c r="S777" s="178"/>
      <c r="T777" s="178"/>
      <c r="U777" s="178"/>
      <c r="V777" s="410"/>
      <c r="Z777" s="178"/>
      <c r="AA777" s="178"/>
      <c r="AB777" s="178"/>
      <c r="AD777" s="178"/>
      <c r="AE777" s="178"/>
      <c r="AF777" s="178"/>
      <c r="AG777" s="178"/>
      <c r="AH777" s="178"/>
      <c r="AI777" s="178"/>
      <c r="AJ777" s="178"/>
      <c r="AK777" s="178"/>
      <c r="AL777" s="178"/>
      <c r="AM777" s="178"/>
      <c r="AN777" s="178"/>
      <c r="AO777" s="178"/>
      <c r="AP777" s="178"/>
      <c r="AQ777" s="178"/>
      <c r="AR777" s="178"/>
      <c r="AS777" s="178"/>
    </row>
    <row r="778" spans="1:45" s="21" customFormat="1" x14ac:dyDescent="0.4">
      <c r="A778" s="27"/>
      <c r="B778" s="645"/>
      <c r="C778" s="645"/>
      <c r="D778" s="131" t="s">
        <v>44</v>
      </c>
      <c r="F778" s="178"/>
      <c r="G778" s="178"/>
      <c r="H778" s="127"/>
      <c r="I778" s="178"/>
      <c r="J778" s="178"/>
      <c r="K778" s="178"/>
      <c r="L778" s="178"/>
      <c r="M778" s="178"/>
      <c r="N778" s="178"/>
      <c r="O778" s="178"/>
      <c r="P778" s="178"/>
      <c r="Q778" s="178"/>
      <c r="R778" s="178"/>
      <c r="S778" s="178"/>
      <c r="T778" s="178"/>
      <c r="U778" s="178"/>
      <c r="V778" s="410"/>
      <c r="Z778" s="178"/>
      <c r="AA778" s="178"/>
      <c r="AB778" s="178"/>
      <c r="AC778" s="178"/>
      <c r="AD778" s="178"/>
      <c r="AE778" s="178"/>
      <c r="AF778" s="178"/>
      <c r="AG778" s="178"/>
      <c r="AH778" s="178"/>
      <c r="AI778" s="178"/>
      <c r="AJ778" s="178"/>
      <c r="AK778" s="178"/>
      <c r="AL778" s="178"/>
      <c r="AM778" s="178"/>
      <c r="AN778" s="178"/>
      <c r="AO778" s="178"/>
      <c r="AP778" s="178"/>
      <c r="AQ778" s="178"/>
      <c r="AR778" s="178"/>
      <c r="AS778" s="178"/>
    </row>
    <row r="779" spans="1:45" s="21" customFormat="1" x14ac:dyDescent="0.4">
      <c r="A779" s="27"/>
      <c r="B779" s="645"/>
      <c r="C779" s="645"/>
      <c r="D779" s="131" t="s">
        <v>44</v>
      </c>
      <c r="F779" s="178"/>
      <c r="G779" s="178"/>
      <c r="H779" s="127"/>
      <c r="I779" s="178"/>
      <c r="J779" s="178"/>
      <c r="K779" s="178"/>
      <c r="L779" s="178"/>
      <c r="M779" s="178"/>
      <c r="N779" s="178"/>
      <c r="O779" s="178"/>
      <c r="P779" s="178"/>
      <c r="Q779" s="178"/>
      <c r="R779" s="178"/>
      <c r="S779" s="178"/>
      <c r="T779" s="178"/>
      <c r="U779" s="178"/>
      <c r="V779" s="410"/>
      <c r="Z779" s="178"/>
      <c r="AA779" s="178"/>
      <c r="AB779" s="178"/>
      <c r="AC779" s="178"/>
      <c r="AD779" s="178"/>
      <c r="AE779" s="178"/>
      <c r="AF779" s="178"/>
      <c r="AG779" s="178"/>
      <c r="AH779" s="178"/>
      <c r="AI779" s="178"/>
      <c r="AJ779" s="178"/>
      <c r="AK779" s="178"/>
      <c r="AL779" s="178"/>
      <c r="AM779" s="178"/>
      <c r="AN779" s="178"/>
      <c r="AO779" s="178"/>
      <c r="AP779" s="178"/>
      <c r="AQ779" s="178"/>
      <c r="AR779" s="178"/>
      <c r="AS779" s="178"/>
    </row>
    <row r="780" spans="1:45" s="21" customFormat="1" x14ac:dyDescent="0.4">
      <c r="A780" s="27"/>
      <c r="B780" s="645"/>
      <c r="C780" s="645"/>
      <c r="D780" s="131"/>
      <c r="F780" s="178"/>
      <c r="G780" s="178"/>
      <c r="H780" s="127"/>
      <c r="I780" s="178"/>
      <c r="J780" s="178"/>
      <c r="K780" s="178"/>
      <c r="L780" s="178"/>
      <c r="M780" s="178"/>
      <c r="N780" s="178"/>
      <c r="O780" s="178"/>
      <c r="P780" s="178"/>
      <c r="Q780" s="178"/>
      <c r="R780" s="178"/>
      <c r="S780" s="178"/>
      <c r="T780" s="178"/>
      <c r="U780" s="178"/>
      <c r="V780" s="410"/>
      <c r="Z780" s="178"/>
      <c r="AA780" s="178"/>
      <c r="AB780" s="178"/>
      <c r="AC780" s="178"/>
      <c r="AD780" s="178"/>
      <c r="AE780" s="178"/>
      <c r="AF780" s="178"/>
      <c r="AG780" s="178"/>
      <c r="AH780" s="178"/>
      <c r="AI780" s="178"/>
      <c r="AJ780" s="178"/>
      <c r="AK780" s="178"/>
      <c r="AL780" s="178"/>
      <c r="AM780" s="178"/>
      <c r="AN780" s="178"/>
      <c r="AO780" s="178"/>
      <c r="AP780" s="178"/>
      <c r="AQ780" s="178"/>
      <c r="AR780" s="178"/>
      <c r="AS780" s="178"/>
    </row>
    <row r="781" spans="1:45" s="21" customFormat="1" x14ac:dyDescent="0.4">
      <c r="A781" s="27"/>
      <c r="B781" s="645"/>
      <c r="C781" s="645"/>
      <c r="D781" s="131"/>
      <c r="F781" s="178"/>
      <c r="G781" s="178"/>
      <c r="H781" s="127"/>
      <c r="I781" s="178"/>
      <c r="J781" s="178"/>
      <c r="K781" s="178"/>
      <c r="L781" s="178"/>
      <c r="M781" s="178"/>
      <c r="N781" s="178"/>
      <c r="O781" s="178"/>
      <c r="P781" s="178"/>
      <c r="Q781" s="178"/>
      <c r="R781" s="178"/>
      <c r="S781" s="178"/>
      <c r="T781" s="178"/>
      <c r="U781" s="178"/>
      <c r="V781" s="410"/>
      <c r="Z781" s="178"/>
      <c r="AA781" s="178"/>
      <c r="AB781" s="178"/>
      <c r="AC781" s="178"/>
      <c r="AD781" s="178"/>
      <c r="AE781" s="178"/>
      <c r="AF781" s="178"/>
      <c r="AG781" s="178"/>
      <c r="AH781" s="178"/>
      <c r="AI781" s="178"/>
      <c r="AJ781" s="178"/>
      <c r="AK781" s="178"/>
      <c r="AL781" s="178"/>
      <c r="AM781" s="178"/>
      <c r="AN781" s="178"/>
      <c r="AO781" s="178"/>
      <c r="AP781" s="178"/>
      <c r="AQ781" s="178"/>
      <c r="AR781" s="178"/>
      <c r="AS781" s="178"/>
    </row>
    <row r="782" spans="1:45" s="21" customFormat="1" x14ac:dyDescent="0.4">
      <c r="A782" s="27"/>
      <c r="B782" s="645"/>
      <c r="C782" s="645"/>
      <c r="D782" s="131"/>
      <c r="F782" s="178"/>
      <c r="G782" s="178"/>
      <c r="H782" s="127"/>
      <c r="I782" s="178"/>
      <c r="J782" s="178"/>
      <c r="K782" s="178"/>
      <c r="L782" s="178"/>
      <c r="M782" s="178"/>
      <c r="N782" s="178"/>
      <c r="O782" s="178"/>
      <c r="P782" s="178"/>
      <c r="Q782" s="178"/>
      <c r="R782" s="178"/>
      <c r="S782" s="178"/>
      <c r="T782" s="178"/>
      <c r="U782" s="178"/>
      <c r="V782" s="410"/>
      <c r="Z782" s="178"/>
      <c r="AA782" s="178"/>
      <c r="AB782" s="178"/>
      <c r="AC782" s="178"/>
      <c r="AD782" s="178"/>
      <c r="AE782" s="178"/>
      <c r="AF782" s="178"/>
      <c r="AG782" s="178"/>
      <c r="AH782" s="178"/>
      <c r="AI782" s="178"/>
      <c r="AJ782" s="178"/>
      <c r="AK782" s="178"/>
      <c r="AL782" s="178"/>
      <c r="AM782" s="178"/>
      <c r="AN782" s="178"/>
      <c r="AO782" s="178"/>
      <c r="AP782" s="178"/>
      <c r="AQ782" s="178"/>
      <c r="AR782" s="178"/>
      <c r="AS782" s="178"/>
    </row>
    <row r="783" spans="1:45" s="21" customFormat="1" x14ac:dyDescent="0.4">
      <c r="A783" s="27"/>
      <c r="B783" s="645"/>
      <c r="C783" s="645"/>
      <c r="D783" s="131"/>
      <c r="F783" s="178"/>
      <c r="G783" s="178"/>
      <c r="H783" s="127"/>
      <c r="I783" s="178"/>
      <c r="J783" s="178"/>
      <c r="K783" s="178"/>
      <c r="L783" s="178"/>
      <c r="M783" s="178"/>
      <c r="N783" s="178"/>
      <c r="O783" s="178"/>
      <c r="P783" s="178"/>
      <c r="Q783" s="178"/>
      <c r="R783" s="178"/>
      <c r="S783" s="178"/>
      <c r="T783" s="178"/>
      <c r="U783" s="178"/>
      <c r="V783" s="410"/>
      <c r="Z783" s="178"/>
      <c r="AA783" s="178"/>
      <c r="AB783" s="178"/>
      <c r="AC783" s="178"/>
      <c r="AD783" s="178"/>
      <c r="AE783" s="178"/>
      <c r="AF783" s="178"/>
      <c r="AG783" s="178"/>
      <c r="AH783" s="178"/>
      <c r="AI783" s="178"/>
      <c r="AJ783" s="178"/>
      <c r="AK783" s="178"/>
      <c r="AL783" s="178"/>
      <c r="AM783" s="178"/>
      <c r="AN783" s="178"/>
      <c r="AO783" s="178"/>
      <c r="AP783" s="178"/>
      <c r="AQ783" s="178"/>
      <c r="AR783" s="178"/>
      <c r="AS783" s="178"/>
    </row>
    <row r="784" spans="1:45" s="21" customFormat="1" x14ac:dyDescent="0.4">
      <c r="A784" s="27"/>
      <c r="B784" s="645"/>
      <c r="C784" s="645"/>
      <c r="D784" s="131"/>
      <c r="F784" s="178"/>
      <c r="G784" s="178"/>
      <c r="H784" s="127"/>
      <c r="I784" s="178"/>
      <c r="J784" s="178"/>
      <c r="K784" s="178"/>
      <c r="L784" s="178"/>
      <c r="M784" s="178"/>
      <c r="N784" s="178"/>
      <c r="O784" s="178"/>
      <c r="P784" s="178"/>
      <c r="Q784" s="178"/>
      <c r="R784" s="178"/>
      <c r="S784" s="178"/>
      <c r="T784" s="178"/>
      <c r="U784" s="178"/>
      <c r="V784" s="410"/>
      <c r="Z784" s="178"/>
      <c r="AA784" s="178"/>
      <c r="AB784" s="178"/>
      <c r="AC784" s="178"/>
      <c r="AD784" s="178"/>
      <c r="AE784" s="178"/>
      <c r="AF784" s="178"/>
      <c r="AG784" s="178"/>
      <c r="AH784" s="178"/>
      <c r="AI784" s="178"/>
      <c r="AJ784" s="178"/>
      <c r="AK784" s="178"/>
      <c r="AL784" s="178"/>
      <c r="AM784" s="178"/>
      <c r="AN784" s="178"/>
      <c r="AO784" s="178"/>
      <c r="AP784" s="178"/>
      <c r="AQ784" s="178"/>
      <c r="AR784" s="178"/>
      <c r="AS784" s="178"/>
    </row>
    <row r="785" spans="1:45" s="21" customFormat="1" x14ac:dyDescent="0.4">
      <c r="A785" s="27"/>
      <c r="B785" s="645"/>
      <c r="C785" s="645"/>
      <c r="D785" s="131"/>
      <c r="F785" s="178"/>
      <c r="G785" s="178"/>
      <c r="H785" s="127"/>
      <c r="I785" s="178"/>
      <c r="J785" s="178"/>
      <c r="K785" s="178"/>
      <c r="L785" s="178"/>
      <c r="M785" s="178"/>
      <c r="N785" s="178"/>
      <c r="O785" s="178"/>
      <c r="P785" s="178"/>
      <c r="Q785" s="178"/>
      <c r="R785" s="178"/>
      <c r="S785" s="178"/>
      <c r="T785" s="178"/>
      <c r="U785" s="178"/>
      <c r="V785" s="410"/>
      <c r="Z785" s="178"/>
      <c r="AA785" s="178"/>
      <c r="AB785" s="178"/>
      <c r="AC785" s="178"/>
      <c r="AD785" s="178"/>
      <c r="AE785" s="178"/>
      <c r="AF785" s="178"/>
      <c r="AG785" s="178"/>
      <c r="AH785" s="178"/>
      <c r="AI785" s="178"/>
      <c r="AJ785" s="178"/>
      <c r="AK785" s="178"/>
      <c r="AL785" s="178"/>
      <c r="AM785" s="178"/>
      <c r="AN785" s="178"/>
      <c r="AO785" s="178"/>
      <c r="AP785" s="178"/>
      <c r="AQ785" s="178"/>
      <c r="AR785" s="178"/>
      <c r="AS785" s="178"/>
    </row>
    <row r="786" spans="1:45" s="21" customFormat="1" x14ac:dyDescent="0.4">
      <c r="A786" s="27"/>
      <c r="B786" s="645"/>
      <c r="C786" s="645"/>
      <c r="D786" s="131"/>
      <c r="F786" s="178"/>
      <c r="G786" s="178"/>
      <c r="H786" s="127"/>
      <c r="I786" s="178"/>
      <c r="J786" s="178"/>
      <c r="K786" s="178"/>
      <c r="L786" s="178"/>
      <c r="M786" s="178"/>
      <c r="N786" s="178"/>
      <c r="O786" s="178"/>
      <c r="P786" s="178"/>
      <c r="Q786" s="178"/>
      <c r="R786" s="178"/>
      <c r="S786" s="178"/>
      <c r="T786" s="178"/>
      <c r="U786" s="178"/>
      <c r="V786" s="410"/>
      <c r="Z786" s="178"/>
      <c r="AA786" s="178"/>
      <c r="AB786" s="178"/>
      <c r="AC786" s="178"/>
      <c r="AD786" s="178"/>
      <c r="AE786" s="178"/>
      <c r="AF786" s="178"/>
      <c r="AG786" s="178"/>
      <c r="AH786" s="178"/>
      <c r="AI786" s="178"/>
      <c r="AJ786" s="178"/>
      <c r="AK786" s="178"/>
      <c r="AL786" s="178"/>
      <c r="AM786" s="178"/>
      <c r="AN786" s="178"/>
      <c r="AO786" s="178"/>
      <c r="AP786" s="178"/>
      <c r="AQ786" s="178"/>
      <c r="AR786" s="178"/>
      <c r="AS786" s="178"/>
    </row>
    <row r="787" spans="1:45" s="21" customFormat="1" x14ac:dyDescent="0.4">
      <c r="A787" s="27"/>
      <c r="B787" s="645"/>
      <c r="C787" s="645"/>
      <c r="D787" s="131"/>
      <c r="F787" s="178"/>
      <c r="G787" s="178"/>
      <c r="H787" s="127"/>
      <c r="I787" s="178"/>
      <c r="J787" s="178"/>
      <c r="K787" s="178"/>
      <c r="L787" s="178"/>
      <c r="M787" s="178"/>
      <c r="N787" s="178"/>
      <c r="O787" s="178"/>
      <c r="P787" s="178"/>
      <c r="Q787" s="178"/>
      <c r="R787" s="178"/>
      <c r="S787" s="178"/>
      <c r="T787" s="178"/>
      <c r="U787" s="178"/>
      <c r="V787" s="410"/>
      <c r="Z787" s="178"/>
      <c r="AA787" s="178"/>
      <c r="AB787" s="178"/>
      <c r="AC787" s="178"/>
      <c r="AD787" s="178"/>
      <c r="AE787" s="178"/>
      <c r="AF787" s="178"/>
      <c r="AG787" s="178"/>
      <c r="AH787" s="178"/>
      <c r="AI787" s="178"/>
      <c r="AJ787" s="178"/>
      <c r="AK787" s="178"/>
      <c r="AL787" s="178"/>
      <c r="AM787" s="178"/>
      <c r="AN787" s="178"/>
      <c r="AO787" s="178"/>
      <c r="AP787" s="178"/>
      <c r="AQ787" s="178"/>
      <c r="AR787" s="178"/>
      <c r="AS787" s="178"/>
    </row>
    <row r="788" spans="1:45" s="21" customFormat="1" x14ac:dyDescent="0.4">
      <c r="A788" s="27"/>
      <c r="B788" s="645"/>
      <c r="C788" s="645"/>
      <c r="D788" s="131"/>
      <c r="F788" s="178"/>
      <c r="G788" s="178"/>
      <c r="H788" s="127"/>
      <c r="I788" s="178"/>
      <c r="J788" s="178"/>
      <c r="K788" s="178"/>
      <c r="L788" s="178"/>
      <c r="M788" s="178"/>
      <c r="N788" s="178"/>
      <c r="O788" s="178"/>
      <c r="P788" s="178"/>
      <c r="Q788" s="178"/>
      <c r="R788" s="178"/>
      <c r="S788" s="178"/>
      <c r="T788" s="178"/>
      <c r="U788" s="178"/>
      <c r="V788" s="410"/>
      <c r="Z788" s="178"/>
      <c r="AA788" s="178"/>
      <c r="AB788" s="178"/>
      <c r="AC788" s="178"/>
      <c r="AD788" s="178"/>
      <c r="AE788" s="178"/>
      <c r="AF788" s="178"/>
      <c r="AG788" s="178"/>
      <c r="AH788" s="178"/>
      <c r="AI788" s="178"/>
      <c r="AJ788" s="178"/>
      <c r="AK788" s="178"/>
      <c r="AL788" s="178"/>
      <c r="AM788" s="178"/>
      <c r="AN788" s="178"/>
      <c r="AO788" s="178"/>
      <c r="AP788" s="178"/>
      <c r="AQ788" s="178"/>
      <c r="AR788" s="178"/>
      <c r="AS788" s="178"/>
    </row>
    <row r="789" spans="1:45" s="21" customFormat="1" x14ac:dyDescent="0.4">
      <c r="A789" s="27"/>
      <c r="B789" s="645"/>
      <c r="C789" s="645"/>
      <c r="D789" s="131"/>
      <c r="F789" s="178"/>
      <c r="G789" s="178"/>
      <c r="H789" s="127"/>
      <c r="I789" s="178"/>
      <c r="J789" s="178"/>
      <c r="K789" s="178"/>
      <c r="L789" s="178"/>
      <c r="M789" s="178"/>
      <c r="N789" s="178"/>
      <c r="O789" s="178"/>
      <c r="P789" s="178"/>
      <c r="Q789" s="178"/>
      <c r="R789" s="178"/>
      <c r="S789" s="178"/>
      <c r="T789" s="178"/>
      <c r="U789" s="178"/>
      <c r="V789" s="410"/>
      <c r="Z789" s="178"/>
      <c r="AA789" s="178"/>
      <c r="AB789" s="178"/>
      <c r="AC789" s="178"/>
      <c r="AD789" s="178"/>
      <c r="AE789" s="178"/>
      <c r="AF789" s="178"/>
      <c r="AG789" s="178"/>
      <c r="AH789" s="178"/>
      <c r="AI789" s="178"/>
      <c r="AJ789" s="178"/>
      <c r="AK789" s="178"/>
      <c r="AL789" s="178"/>
      <c r="AM789" s="178"/>
      <c r="AN789" s="178"/>
      <c r="AO789" s="178"/>
      <c r="AP789" s="178"/>
      <c r="AQ789" s="178"/>
      <c r="AR789" s="178"/>
      <c r="AS789" s="178"/>
    </row>
    <row r="790" spans="1:45" s="21" customFormat="1" x14ac:dyDescent="0.4">
      <c r="A790" s="27"/>
      <c r="B790" s="645"/>
      <c r="C790" s="645"/>
      <c r="D790" s="131"/>
      <c r="F790" s="178"/>
      <c r="G790" s="178"/>
      <c r="H790" s="127"/>
      <c r="I790" s="178"/>
      <c r="J790" s="178"/>
      <c r="K790" s="178"/>
      <c r="L790" s="178"/>
      <c r="M790" s="178"/>
      <c r="N790" s="178"/>
      <c r="O790" s="178"/>
      <c r="P790" s="178"/>
      <c r="Q790" s="178"/>
      <c r="R790" s="178"/>
      <c r="S790" s="178"/>
      <c r="T790" s="178"/>
      <c r="U790" s="178"/>
      <c r="V790" s="410"/>
      <c r="Z790" s="178"/>
      <c r="AA790" s="178"/>
      <c r="AB790" s="178"/>
      <c r="AC790" s="178"/>
      <c r="AD790" s="178"/>
      <c r="AE790" s="178"/>
      <c r="AF790" s="178"/>
      <c r="AG790" s="178"/>
      <c r="AH790" s="178"/>
      <c r="AI790" s="178"/>
      <c r="AJ790" s="178"/>
      <c r="AK790" s="178"/>
      <c r="AL790" s="178"/>
      <c r="AM790" s="178"/>
      <c r="AN790" s="178"/>
      <c r="AO790" s="178"/>
      <c r="AP790" s="178"/>
      <c r="AQ790" s="178"/>
      <c r="AR790" s="178"/>
      <c r="AS790" s="178"/>
    </row>
    <row r="791" spans="1:45" s="21" customFormat="1" x14ac:dyDescent="0.4">
      <c r="A791" s="27"/>
      <c r="B791" s="645"/>
      <c r="C791" s="645"/>
      <c r="D791" s="131"/>
      <c r="F791" s="178"/>
      <c r="G791" s="178"/>
      <c r="H791" s="127"/>
      <c r="I791" s="178"/>
      <c r="J791" s="178"/>
      <c r="K791" s="178"/>
      <c r="L791" s="178"/>
      <c r="M791" s="178"/>
      <c r="N791" s="178"/>
      <c r="O791" s="178"/>
      <c r="P791" s="178"/>
      <c r="Q791" s="178"/>
      <c r="R791" s="178"/>
      <c r="S791" s="178"/>
      <c r="T791" s="178"/>
      <c r="U791" s="178"/>
      <c r="V791" s="410"/>
      <c r="Z791" s="178"/>
      <c r="AA791" s="178"/>
      <c r="AB791" s="178"/>
      <c r="AC791" s="178"/>
      <c r="AD791" s="178"/>
      <c r="AE791" s="178"/>
      <c r="AF791" s="178"/>
      <c r="AG791" s="178"/>
      <c r="AH791" s="178"/>
      <c r="AI791" s="178"/>
      <c r="AJ791" s="178"/>
      <c r="AK791" s="178"/>
      <c r="AL791" s="178"/>
      <c r="AM791" s="178"/>
      <c r="AN791" s="178"/>
      <c r="AO791" s="178"/>
      <c r="AP791" s="178"/>
      <c r="AQ791" s="178"/>
      <c r="AR791" s="178"/>
      <c r="AS791" s="178"/>
    </row>
    <row r="792" spans="1:45" s="21" customFormat="1" x14ac:dyDescent="0.4">
      <c r="A792" s="27"/>
      <c r="B792" s="645"/>
      <c r="C792" s="645"/>
      <c r="D792" s="131"/>
      <c r="F792" s="178"/>
      <c r="G792" s="178"/>
      <c r="H792" s="127"/>
      <c r="I792" s="178"/>
      <c r="J792" s="178"/>
      <c r="K792" s="178"/>
      <c r="L792" s="178"/>
      <c r="M792" s="178"/>
      <c r="N792" s="178"/>
      <c r="O792" s="178"/>
      <c r="P792" s="178"/>
      <c r="Q792" s="178"/>
      <c r="R792" s="178"/>
      <c r="S792" s="178"/>
      <c r="T792" s="178"/>
      <c r="U792" s="178"/>
      <c r="V792" s="410"/>
      <c r="Z792" s="178"/>
      <c r="AA792" s="178"/>
      <c r="AB792" s="178"/>
      <c r="AC792" s="178"/>
      <c r="AD792" s="178"/>
      <c r="AE792" s="178"/>
      <c r="AF792" s="178"/>
      <c r="AG792" s="178"/>
      <c r="AH792" s="178"/>
      <c r="AI792" s="178"/>
      <c r="AJ792" s="178"/>
      <c r="AK792" s="178"/>
      <c r="AL792" s="178"/>
      <c r="AM792" s="178"/>
      <c r="AN792" s="178"/>
      <c r="AO792" s="178"/>
      <c r="AP792" s="178"/>
      <c r="AQ792" s="178"/>
      <c r="AR792" s="178"/>
      <c r="AS792" s="178"/>
    </row>
    <row r="793" spans="1:45" s="21" customFormat="1" x14ac:dyDescent="0.4">
      <c r="A793" s="27"/>
      <c r="B793" s="645"/>
      <c r="C793" s="645"/>
      <c r="D793" s="131"/>
      <c r="F793" s="178"/>
      <c r="G793" s="178"/>
      <c r="H793" s="127"/>
      <c r="I793" s="178"/>
      <c r="J793" s="178"/>
      <c r="K793" s="178"/>
      <c r="L793" s="178"/>
      <c r="M793" s="178"/>
      <c r="N793" s="178"/>
      <c r="O793" s="178"/>
      <c r="P793" s="178"/>
      <c r="Q793" s="178"/>
      <c r="R793" s="178"/>
      <c r="S793" s="178"/>
      <c r="T793" s="178"/>
      <c r="U793" s="178"/>
      <c r="V793" s="410"/>
      <c r="Z793" s="178"/>
      <c r="AA793" s="178"/>
      <c r="AB793" s="178"/>
      <c r="AC793" s="178"/>
      <c r="AD793" s="178"/>
      <c r="AE793" s="178"/>
      <c r="AF793" s="178"/>
      <c r="AG793" s="178"/>
      <c r="AH793" s="178"/>
      <c r="AI793" s="178"/>
      <c r="AJ793" s="178"/>
      <c r="AK793" s="178"/>
      <c r="AL793" s="178"/>
      <c r="AM793" s="178"/>
      <c r="AN793" s="178"/>
      <c r="AO793" s="178"/>
      <c r="AP793" s="178"/>
      <c r="AQ793" s="178"/>
      <c r="AR793" s="178"/>
      <c r="AS793" s="178"/>
    </row>
    <row r="794" spans="1:45" s="21" customFormat="1" x14ac:dyDescent="0.4">
      <c r="A794" s="27"/>
      <c r="B794" s="645"/>
      <c r="C794" s="645"/>
      <c r="D794" s="131"/>
      <c r="F794" s="178"/>
      <c r="G794" s="178"/>
      <c r="H794" s="127"/>
      <c r="I794" s="178"/>
      <c r="J794" s="178"/>
      <c r="K794" s="178"/>
      <c r="L794" s="178"/>
      <c r="M794" s="178"/>
      <c r="N794" s="178"/>
      <c r="O794" s="178"/>
      <c r="P794" s="178"/>
      <c r="Q794" s="178"/>
      <c r="R794" s="178"/>
      <c r="S794" s="178"/>
      <c r="T794" s="178"/>
      <c r="U794" s="178"/>
      <c r="V794" s="410"/>
      <c r="Z794" s="178"/>
      <c r="AA794" s="178"/>
      <c r="AB794" s="178"/>
      <c r="AC794" s="178"/>
      <c r="AD794" s="178"/>
      <c r="AE794" s="178"/>
      <c r="AF794" s="178"/>
      <c r="AG794" s="178"/>
      <c r="AH794" s="178"/>
      <c r="AI794" s="178"/>
      <c r="AJ794" s="178"/>
      <c r="AK794" s="178"/>
      <c r="AL794" s="178"/>
      <c r="AM794" s="178"/>
      <c r="AN794" s="178"/>
      <c r="AO794" s="178"/>
      <c r="AP794" s="178"/>
      <c r="AQ794" s="178"/>
      <c r="AR794" s="178"/>
      <c r="AS794" s="178"/>
    </row>
    <row r="795" spans="1:45" s="21" customFormat="1" x14ac:dyDescent="0.4">
      <c r="A795" s="27"/>
      <c r="B795" s="645"/>
      <c r="C795" s="645"/>
      <c r="D795" s="131"/>
      <c r="F795" s="178"/>
      <c r="G795" s="178"/>
      <c r="H795" s="127"/>
      <c r="I795" s="178"/>
      <c r="J795" s="178"/>
      <c r="K795" s="178"/>
      <c r="L795" s="178"/>
      <c r="M795" s="178"/>
      <c r="N795" s="178"/>
      <c r="O795" s="178"/>
      <c r="P795" s="178"/>
      <c r="Q795" s="178"/>
      <c r="R795" s="178"/>
      <c r="S795" s="178"/>
      <c r="T795" s="178"/>
      <c r="U795" s="178"/>
      <c r="V795" s="410"/>
      <c r="Z795" s="178"/>
      <c r="AA795" s="178"/>
      <c r="AB795" s="178"/>
      <c r="AC795" s="178"/>
      <c r="AD795" s="178"/>
      <c r="AE795" s="178"/>
      <c r="AF795" s="178"/>
      <c r="AG795" s="178"/>
      <c r="AH795" s="178"/>
      <c r="AI795" s="178"/>
      <c r="AJ795" s="178"/>
      <c r="AK795" s="178"/>
      <c r="AL795" s="178"/>
      <c r="AM795" s="178"/>
      <c r="AN795" s="178"/>
      <c r="AO795" s="178"/>
      <c r="AP795" s="178"/>
      <c r="AQ795" s="178"/>
      <c r="AR795" s="178"/>
      <c r="AS795" s="178"/>
    </row>
    <row r="796" spans="1:45" s="21" customFormat="1" x14ac:dyDescent="0.4">
      <c r="A796" s="27"/>
      <c r="B796" s="645"/>
      <c r="C796" s="645"/>
      <c r="D796" s="131"/>
      <c r="F796" s="178"/>
      <c r="G796" s="178"/>
      <c r="H796" s="127"/>
      <c r="I796" s="178"/>
      <c r="J796" s="178"/>
      <c r="K796" s="178"/>
      <c r="L796" s="178"/>
      <c r="M796" s="178"/>
      <c r="N796" s="178"/>
      <c r="O796" s="178"/>
      <c r="P796" s="178"/>
      <c r="Q796" s="178"/>
      <c r="R796" s="178"/>
      <c r="S796" s="178"/>
      <c r="T796" s="178"/>
      <c r="U796" s="178"/>
      <c r="V796" s="410"/>
      <c r="Z796" s="178"/>
      <c r="AA796" s="178"/>
      <c r="AB796" s="178"/>
      <c r="AC796" s="178"/>
      <c r="AD796" s="178"/>
      <c r="AE796" s="178"/>
      <c r="AF796" s="178"/>
      <c r="AG796" s="178"/>
      <c r="AH796" s="178"/>
      <c r="AI796" s="178"/>
      <c r="AJ796" s="178"/>
      <c r="AK796" s="178"/>
      <c r="AL796" s="178"/>
      <c r="AM796" s="178"/>
      <c r="AN796" s="178"/>
      <c r="AO796" s="178"/>
      <c r="AP796" s="178"/>
      <c r="AQ796" s="178"/>
      <c r="AR796" s="178"/>
      <c r="AS796" s="178"/>
    </row>
    <row r="797" spans="1:45" s="21" customFormat="1" x14ac:dyDescent="0.4">
      <c r="A797" s="27"/>
      <c r="B797" s="645"/>
      <c r="C797" s="645"/>
      <c r="D797" s="131"/>
      <c r="F797" s="178"/>
      <c r="G797" s="178"/>
      <c r="H797" s="127"/>
      <c r="I797" s="178"/>
      <c r="J797" s="178"/>
      <c r="K797" s="178"/>
      <c r="L797" s="178"/>
      <c r="M797" s="178"/>
      <c r="N797" s="178"/>
      <c r="O797" s="178"/>
      <c r="P797" s="178"/>
      <c r="Q797" s="178"/>
      <c r="R797" s="178"/>
      <c r="S797" s="178"/>
      <c r="T797" s="178"/>
      <c r="U797" s="178"/>
      <c r="V797" s="410"/>
      <c r="Z797" s="178"/>
      <c r="AA797" s="178"/>
      <c r="AB797" s="178"/>
      <c r="AC797" s="178"/>
      <c r="AD797" s="178"/>
      <c r="AE797" s="178"/>
      <c r="AF797" s="178"/>
      <c r="AG797" s="178"/>
      <c r="AH797" s="178"/>
      <c r="AI797" s="178"/>
      <c r="AJ797" s="178"/>
      <c r="AK797" s="178"/>
      <c r="AL797" s="178"/>
      <c r="AM797" s="178"/>
      <c r="AN797" s="178"/>
      <c r="AO797" s="178"/>
      <c r="AP797" s="178"/>
      <c r="AQ797" s="178"/>
      <c r="AR797" s="178"/>
      <c r="AS797" s="178"/>
    </row>
    <row r="798" spans="1:45" s="21" customFormat="1" x14ac:dyDescent="0.4">
      <c r="A798" s="27"/>
      <c r="B798" s="645"/>
      <c r="C798" s="645"/>
      <c r="D798" s="131"/>
      <c r="F798" s="178"/>
      <c r="G798" s="178"/>
      <c r="H798" s="127"/>
      <c r="I798" s="178"/>
      <c r="J798" s="178"/>
      <c r="K798" s="178"/>
      <c r="L798" s="178"/>
      <c r="M798" s="178"/>
      <c r="N798" s="178"/>
      <c r="O798" s="178"/>
      <c r="P798" s="178"/>
      <c r="Q798" s="178"/>
      <c r="R798" s="178"/>
      <c r="S798" s="178"/>
      <c r="T798" s="178"/>
      <c r="U798" s="178"/>
      <c r="V798" s="410"/>
      <c r="Z798" s="178"/>
      <c r="AA798" s="178"/>
      <c r="AB798" s="178"/>
      <c r="AC798" s="178"/>
      <c r="AD798" s="178"/>
      <c r="AE798" s="178"/>
      <c r="AF798" s="178"/>
      <c r="AG798" s="178"/>
      <c r="AH798" s="178"/>
      <c r="AI798" s="178"/>
      <c r="AJ798" s="178"/>
      <c r="AK798" s="178"/>
      <c r="AL798" s="178"/>
      <c r="AM798" s="178"/>
      <c r="AN798" s="178"/>
      <c r="AO798" s="178"/>
      <c r="AP798" s="178"/>
      <c r="AQ798" s="178"/>
      <c r="AR798" s="178"/>
      <c r="AS798" s="178"/>
    </row>
    <row r="799" spans="1:45" s="21" customFormat="1" x14ac:dyDescent="0.4">
      <c r="A799" s="27"/>
      <c r="B799" s="645"/>
      <c r="C799" s="645"/>
      <c r="D799" s="131"/>
      <c r="F799" s="178"/>
      <c r="G799" s="178"/>
      <c r="H799" s="127"/>
      <c r="I799" s="178"/>
      <c r="J799" s="178"/>
      <c r="K799" s="178"/>
      <c r="L799" s="178"/>
      <c r="M799" s="178"/>
      <c r="N799" s="178"/>
      <c r="O799" s="178"/>
      <c r="P799" s="178"/>
      <c r="Q799" s="178"/>
      <c r="R799" s="178"/>
      <c r="S799" s="178"/>
      <c r="T799" s="178"/>
      <c r="U799" s="178"/>
      <c r="V799" s="410"/>
      <c r="Z799" s="178"/>
      <c r="AA799" s="178"/>
      <c r="AB799" s="178"/>
      <c r="AC799" s="178"/>
      <c r="AD799" s="178"/>
      <c r="AE799" s="178"/>
      <c r="AF799" s="178"/>
      <c r="AG799" s="178"/>
      <c r="AH799" s="178"/>
      <c r="AI799" s="178"/>
      <c r="AJ799" s="178"/>
      <c r="AK799" s="178"/>
      <c r="AL799" s="178"/>
      <c r="AM799" s="178"/>
      <c r="AN799" s="178"/>
      <c r="AO799" s="178"/>
      <c r="AP799" s="178"/>
      <c r="AQ799" s="178"/>
      <c r="AR799" s="178"/>
      <c r="AS799" s="178"/>
    </row>
    <row r="800" spans="1:45" s="21" customFormat="1" x14ac:dyDescent="0.4">
      <c r="A800" s="27"/>
      <c r="B800" s="645"/>
      <c r="C800" s="645"/>
      <c r="D800" s="131"/>
      <c r="F800" s="178"/>
      <c r="G800" s="178"/>
      <c r="H800" s="127"/>
      <c r="I800" s="178"/>
      <c r="J800" s="178"/>
      <c r="K800" s="178"/>
      <c r="L800" s="178"/>
      <c r="M800" s="178"/>
      <c r="N800" s="178"/>
      <c r="O800" s="178"/>
      <c r="P800" s="178"/>
      <c r="Q800" s="178"/>
      <c r="R800" s="178"/>
      <c r="S800" s="178"/>
      <c r="T800" s="178"/>
      <c r="U800" s="178"/>
      <c r="V800" s="410"/>
      <c r="Z800" s="178"/>
      <c r="AA800" s="178"/>
      <c r="AB800" s="178"/>
      <c r="AC800" s="178"/>
      <c r="AD800" s="178"/>
      <c r="AE800" s="178"/>
      <c r="AF800" s="178"/>
      <c r="AG800" s="178"/>
      <c r="AH800" s="178"/>
      <c r="AI800" s="178"/>
      <c r="AJ800" s="178"/>
      <c r="AK800" s="178"/>
      <c r="AL800" s="178"/>
      <c r="AM800" s="178"/>
      <c r="AN800" s="178"/>
      <c r="AO800" s="178"/>
      <c r="AP800" s="178"/>
      <c r="AQ800" s="178"/>
      <c r="AR800" s="178"/>
      <c r="AS800" s="178"/>
    </row>
    <row r="801" spans="1:45" s="21" customFormat="1" x14ac:dyDescent="0.4">
      <c r="A801" s="27"/>
      <c r="B801" s="645"/>
      <c r="C801" s="645"/>
      <c r="D801" s="131"/>
      <c r="F801" s="178"/>
      <c r="G801" s="178"/>
      <c r="H801" s="127"/>
      <c r="I801" s="178"/>
      <c r="J801" s="178"/>
      <c r="K801" s="178"/>
      <c r="L801" s="178"/>
      <c r="M801" s="178"/>
      <c r="N801" s="178"/>
      <c r="O801" s="178"/>
      <c r="P801" s="178"/>
      <c r="Q801" s="178"/>
      <c r="R801" s="178"/>
      <c r="S801" s="178"/>
      <c r="T801" s="178"/>
      <c r="U801" s="178"/>
      <c r="V801" s="410"/>
      <c r="Z801" s="178"/>
      <c r="AA801" s="178"/>
      <c r="AB801" s="178"/>
      <c r="AC801" s="178"/>
      <c r="AD801" s="178"/>
      <c r="AE801" s="178"/>
      <c r="AF801" s="178"/>
      <c r="AG801" s="178"/>
      <c r="AH801" s="178"/>
      <c r="AI801" s="178"/>
      <c r="AJ801" s="178"/>
      <c r="AK801" s="178"/>
      <c r="AL801" s="178"/>
      <c r="AM801" s="178"/>
      <c r="AN801" s="178"/>
      <c r="AO801" s="178"/>
      <c r="AP801" s="178"/>
      <c r="AQ801" s="178"/>
      <c r="AR801" s="178"/>
      <c r="AS801" s="178"/>
    </row>
    <row r="802" spans="1:45" s="752" customFormat="1" ht="27" customHeight="1" x14ac:dyDescent="0.4">
      <c r="A802" s="751"/>
      <c r="B802" s="751"/>
      <c r="C802" s="751"/>
      <c r="E802" s="752" t="str">
        <f>UPPER('Talnagögn | Numerical Data'!$E$14)</f>
        <v>LOSUNARSPÁ: SVIÐSMYND BYGGÐ Á AÐGERÐUM STJÓRNVALDA</v>
      </c>
      <c r="F802" s="753"/>
      <c r="G802" s="753"/>
      <c r="H802" s="753"/>
      <c r="I802" s="753"/>
      <c r="J802" s="753"/>
      <c r="K802" s="753"/>
      <c r="L802" s="753"/>
      <c r="M802" s="753"/>
      <c r="N802" s="753"/>
      <c r="O802" s="753"/>
      <c r="P802" s="753"/>
      <c r="Q802" s="753"/>
      <c r="R802" s="753"/>
      <c r="S802" s="753"/>
      <c r="T802" s="753"/>
      <c r="U802" s="753"/>
      <c r="V802" s="755"/>
      <c r="Y802" s="752" t="str">
        <f>UPPER('Talnagögn | Numerical Data'!$G$14)</f>
        <v>EMISSION PROJECTIONS: GOVERNMENT POLICY-BASED SCENARIO</v>
      </c>
      <c r="Z802" s="753"/>
      <c r="AA802" s="753"/>
      <c r="AB802" s="753"/>
      <c r="AC802" s="753"/>
      <c r="AD802" s="753"/>
      <c r="AE802" s="753"/>
      <c r="AF802" s="753"/>
      <c r="AG802" s="753"/>
      <c r="AH802" s="753"/>
      <c r="AI802" s="753"/>
      <c r="AJ802" s="753"/>
      <c r="AK802" s="753"/>
      <c r="AL802" s="753"/>
      <c r="AM802" s="753"/>
      <c r="AN802" s="753"/>
      <c r="AO802" s="753"/>
      <c r="AP802" s="753"/>
      <c r="AQ802" s="753"/>
      <c r="AR802" s="753"/>
      <c r="AS802" s="753"/>
    </row>
    <row r="803" spans="1:45" s="21" customFormat="1" x14ac:dyDescent="0.4">
      <c r="A803" s="27"/>
      <c r="B803" s="645"/>
      <c r="C803" s="645"/>
      <c r="D803" s="131" t="s">
        <v>44</v>
      </c>
      <c r="F803" s="178"/>
      <c r="G803" s="178"/>
      <c r="H803" s="127"/>
      <c r="I803" s="178"/>
      <c r="J803" s="178"/>
      <c r="K803" s="178"/>
      <c r="L803" s="178"/>
      <c r="M803" s="178"/>
      <c r="N803" s="178"/>
      <c r="O803" s="178"/>
      <c r="P803" s="178"/>
      <c r="Q803" s="178"/>
      <c r="R803" s="178"/>
      <c r="S803" s="178"/>
      <c r="T803" s="178"/>
      <c r="U803" s="178"/>
      <c r="V803" s="410"/>
      <c r="Z803" s="178"/>
      <c r="AA803" s="178"/>
      <c r="AB803" s="178"/>
      <c r="AC803" s="178"/>
      <c r="AD803" s="178"/>
      <c r="AE803" s="178"/>
      <c r="AF803" s="178"/>
      <c r="AG803" s="178"/>
      <c r="AH803" s="178"/>
      <c r="AI803" s="178"/>
      <c r="AJ803" s="178"/>
      <c r="AK803" s="178"/>
      <c r="AL803" s="178"/>
      <c r="AM803" s="178"/>
      <c r="AN803" s="178"/>
      <c r="AO803" s="178"/>
      <c r="AP803" s="178"/>
      <c r="AQ803" s="178"/>
      <c r="AR803" s="178"/>
      <c r="AS803" s="178"/>
    </row>
    <row r="804" spans="1:45" s="21" customFormat="1" x14ac:dyDescent="0.4">
      <c r="A804" s="27"/>
      <c r="B804" s="645"/>
      <c r="C804" s="645"/>
      <c r="D804" s="131" t="s">
        <v>44</v>
      </c>
      <c r="F804" s="178"/>
      <c r="G804" s="178"/>
      <c r="H804" s="127"/>
      <c r="I804" s="178"/>
      <c r="J804" s="178"/>
      <c r="K804" s="178"/>
      <c r="L804" s="178"/>
      <c r="M804" s="178"/>
      <c r="N804" s="178"/>
      <c r="O804" s="178"/>
      <c r="P804" s="178"/>
      <c r="Q804" s="178"/>
      <c r="R804" s="178"/>
      <c r="S804" s="178"/>
      <c r="T804" s="178"/>
      <c r="U804" s="178"/>
      <c r="V804" s="410"/>
      <c r="Z804" s="178"/>
      <c r="AA804" s="178"/>
      <c r="AB804" s="178"/>
      <c r="AC804" s="178"/>
      <c r="AD804" s="178"/>
      <c r="AE804" s="178"/>
      <c r="AF804" s="178"/>
      <c r="AG804" s="178"/>
      <c r="AH804" s="178"/>
      <c r="AI804" s="178"/>
      <c r="AJ804" s="178"/>
      <c r="AK804" s="178"/>
      <c r="AL804" s="178"/>
      <c r="AM804" s="178"/>
      <c r="AN804" s="178"/>
      <c r="AO804" s="178"/>
      <c r="AP804" s="178"/>
      <c r="AQ804" s="178"/>
      <c r="AR804" s="178"/>
      <c r="AS804" s="178"/>
    </row>
    <row r="805" spans="1:45" s="21" customFormat="1" x14ac:dyDescent="0.4">
      <c r="A805" s="27"/>
      <c r="B805" s="645"/>
      <c r="C805" s="645"/>
      <c r="D805" s="131" t="s">
        <v>44</v>
      </c>
      <c r="F805" s="178"/>
      <c r="G805" s="178"/>
      <c r="H805" s="127"/>
      <c r="I805" s="178"/>
      <c r="J805" s="178"/>
      <c r="K805" s="178"/>
      <c r="L805" s="178"/>
      <c r="M805" s="178"/>
      <c r="N805" s="178"/>
      <c r="O805" s="178"/>
      <c r="P805" s="178"/>
      <c r="Q805" s="178"/>
      <c r="R805" s="178"/>
      <c r="S805" s="178"/>
      <c r="T805" s="178"/>
      <c r="U805" s="178"/>
      <c r="V805" s="410"/>
      <c r="Z805" s="178"/>
      <c r="AA805" s="178"/>
      <c r="AB805" s="178"/>
      <c r="AC805" s="178"/>
      <c r="AD805" s="178"/>
      <c r="AE805" s="178"/>
      <c r="AF805" s="178"/>
      <c r="AG805" s="178"/>
      <c r="AH805" s="178"/>
      <c r="AI805" s="178"/>
      <c r="AJ805" s="178"/>
      <c r="AK805" s="178"/>
      <c r="AL805" s="178"/>
      <c r="AM805" s="178"/>
      <c r="AN805" s="178"/>
      <c r="AO805" s="178"/>
      <c r="AP805" s="178"/>
      <c r="AQ805" s="178"/>
      <c r="AR805" s="178"/>
      <c r="AS805" s="178"/>
    </row>
    <row r="806" spans="1:45" s="21" customFormat="1" x14ac:dyDescent="0.4">
      <c r="A806" s="27"/>
      <c r="B806" s="645"/>
      <c r="C806" s="645"/>
      <c r="D806" s="131" t="s">
        <v>44</v>
      </c>
      <c r="F806" s="178"/>
      <c r="G806" s="178"/>
      <c r="H806" s="127"/>
      <c r="I806" s="178"/>
      <c r="J806" s="178"/>
      <c r="K806" s="178"/>
      <c r="L806" s="178"/>
      <c r="M806" s="178"/>
      <c r="N806" s="178"/>
      <c r="O806" s="178"/>
      <c r="P806" s="178"/>
      <c r="Q806" s="178"/>
      <c r="R806" s="178"/>
      <c r="S806" s="178"/>
      <c r="T806" s="178"/>
      <c r="U806" s="178"/>
      <c r="V806" s="410"/>
      <c r="Z806" s="178"/>
      <c r="AA806" s="178"/>
      <c r="AB806" s="178"/>
      <c r="AC806" s="178"/>
      <c r="AD806" s="178"/>
      <c r="AE806" s="178"/>
      <c r="AF806" s="178"/>
      <c r="AG806" s="178"/>
      <c r="AH806" s="178"/>
      <c r="AI806" s="178"/>
      <c r="AJ806" s="178"/>
      <c r="AK806" s="178"/>
      <c r="AL806" s="178"/>
      <c r="AM806" s="178"/>
      <c r="AN806" s="178"/>
      <c r="AO806" s="178"/>
      <c r="AP806" s="178"/>
      <c r="AQ806" s="178"/>
      <c r="AR806" s="178"/>
      <c r="AS806" s="178"/>
    </row>
    <row r="807" spans="1:45" s="21" customFormat="1" x14ac:dyDescent="0.4">
      <c r="A807" s="27"/>
      <c r="B807" s="645"/>
      <c r="C807" s="645"/>
      <c r="D807" s="131"/>
      <c r="F807" s="178"/>
      <c r="G807" s="178"/>
      <c r="H807" s="127"/>
      <c r="I807" s="178"/>
      <c r="J807" s="178"/>
      <c r="K807" s="178"/>
      <c r="L807" s="178"/>
      <c r="M807" s="178"/>
      <c r="N807" s="178"/>
      <c r="O807" s="178"/>
      <c r="P807" s="178"/>
      <c r="Q807" s="178"/>
      <c r="R807" s="178"/>
      <c r="S807" s="178"/>
      <c r="T807" s="178"/>
      <c r="U807" s="178"/>
      <c r="V807" s="410"/>
      <c r="Z807" s="178"/>
      <c r="AA807" s="178"/>
      <c r="AB807" s="178"/>
      <c r="AC807" s="178"/>
      <c r="AD807" s="178"/>
      <c r="AE807" s="178"/>
      <c r="AF807" s="178"/>
      <c r="AG807" s="178"/>
      <c r="AH807" s="178"/>
      <c r="AI807" s="178"/>
      <c r="AJ807" s="178"/>
      <c r="AK807" s="178"/>
      <c r="AL807" s="178"/>
      <c r="AM807" s="178"/>
      <c r="AN807" s="178"/>
      <c r="AO807" s="178"/>
      <c r="AP807" s="178"/>
      <c r="AQ807" s="178"/>
      <c r="AR807" s="178"/>
      <c r="AS807" s="178"/>
    </row>
    <row r="808" spans="1:45" s="21" customFormat="1" x14ac:dyDescent="0.4">
      <c r="A808" s="27"/>
      <c r="B808" s="645"/>
      <c r="C808" s="645"/>
      <c r="D808" s="131"/>
      <c r="F808" s="178"/>
      <c r="G808" s="178"/>
      <c r="H808" s="127"/>
      <c r="I808" s="178"/>
      <c r="J808" s="178"/>
      <c r="K808" s="178"/>
      <c r="L808" s="178"/>
      <c r="M808" s="178"/>
      <c r="N808" s="178"/>
      <c r="O808" s="178"/>
      <c r="P808" s="178"/>
      <c r="Q808" s="178"/>
      <c r="R808" s="178"/>
      <c r="S808" s="178"/>
      <c r="T808" s="178"/>
      <c r="U808" s="178"/>
      <c r="V808" s="410"/>
      <c r="Z808" s="178"/>
      <c r="AA808" s="178"/>
      <c r="AB808" s="178"/>
      <c r="AC808" s="178"/>
      <c r="AD808" s="178"/>
      <c r="AE808" s="178"/>
      <c r="AF808" s="178"/>
      <c r="AG808" s="178"/>
      <c r="AH808" s="178"/>
      <c r="AI808" s="178"/>
      <c r="AJ808" s="178"/>
      <c r="AK808" s="178"/>
      <c r="AL808" s="178"/>
      <c r="AM808" s="178"/>
      <c r="AN808" s="178"/>
      <c r="AO808" s="178"/>
      <c r="AP808" s="178"/>
      <c r="AQ808" s="178"/>
      <c r="AR808" s="178"/>
      <c r="AS808" s="178"/>
    </row>
    <row r="809" spans="1:45" s="21" customFormat="1" x14ac:dyDescent="0.4">
      <c r="A809" s="27"/>
      <c r="B809" s="645"/>
      <c r="C809" s="645"/>
      <c r="D809" s="131"/>
      <c r="F809" s="178"/>
      <c r="G809" s="178"/>
      <c r="H809" s="127"/>
      <c r="I809" s="178"/>
      <c r="J809" s="178"/>
      <c r="K809" s="178"/>
      <c r="L809" s="178"/>
      <c r="M809" s="178"/>
      <c r="N809" s="178"/>
      <c r="O809" s="178"/>
      <c r="P809" s="178"/>
      <c r="Q809" s="178"/>
      <c r="R809" s="178"/>
      <c r="S809" s="178"/>
      <c r="T809" s="178"/>
      <c r="U809" s="178"/>
      <c r="V809" s="410"/>
      <c r="Z809" s="178"/>
      <c r="AA809" s="178"/>
      <c r="AB809" s="178"/>
      <c r="AC809" s="178"/>
      <c r="AD809" s="178"/>
      <c r="AE809" s="178"/>
      <c r="AF809" s="178"/>
      <c r="AG809" s="178"/>
      <c r="AH809" s="178"/>
      <c r="AI809" s="178"/>
      <c r="AJ809" s="178"/>
      <c r="AK809" s="178"/>
      <c r="AL809" s="178"/>
      <c r="AM809" s="178"/>
      <c r="AN809" s="178"/>
      <c r="AO809" s="178"/>
      <c r="AP809" s="178"/>
      <c r="AQ809" s="178"/>
      <c r="AR809" s="178"/>
      <c r="AS809" s="178"/>
    </row>
    <row r="810" spans="1:45" s="21" customFormat="1" x14ac:dyDescent="0.4">
      <c r="A810" s="27"/>
      <c r="B810" s="645"/>
      <c r="C810" s="645"/>
      <c r="D810" s="131"/>
      <c r="F810" s="178"/>
      <c r="G810" s="178"/>
      <c r="H810" s="127"/>
      <c r="I810" s="178"/>
      <c r="J810" s="178"/>
      <c r="K810" s="178"/>
      <c r="L810" s="178"/>
      <c r="M810" s="178"/>
      <c r="N810" s="178"/>
      <c r="O810" s="178"/>
      <c r="P810" s="178"/>
      <c r="Q810" s="178"/>
      <c r="R810" s="178"/>
      <c r="S810" s="178"/>
      <c r="T810" s="178"/>
      <c r="U810" s="178"/>
      <c r="V810" s="410"/>
      <c r="Z810" s="178"/>
      <c r="AA810" s="178"/>
      <c r="AB810" s="178"/>
      <c r="AC810" s="178"/>
      <c r="AD810" s="178"/>
      <c r="AE810" s="178"/>
      <c r="AF810" s="178"/>
      <c r="AG810" s="178"/>
      <c r="AH810" s="178"/>
      <c r="AI810" s="178"/>
      <c r="AJ810" s="178"/>
      <c r="AK810" s="178"/>
      <c r="AL810" s="178"/>
      <c r="AM810" s="178"/>
      <c r="AN810" s="178"/>
      <c r="AO810" s="178"/>
      <c r="AP810" s="178"/>
      <c r="AQ810" s="178"/>
      <c r="AR810" s="178"/>
      <c r="AS810" s="178"/>
    </row>
    <row r="811" spans="1:45" s="21" customFormat="1" x14ac:dyDescent="0.4">
      <c r="A811" s="27"/>
      <c r="B811" s="645"/>
      <c r="C811" s="645"/>
      <c r="D811" s="131"/>
      <c r="F811" s="178"/>
      <c r="G811" s="178"/>
      <c r="H811" s="127"/>
      <c r="I811" s="178"/>
      <c r="J811" s="178"/>
      <c r="K811" s="178"/>
      <c r="L811" s="178"/>
      <c r="M811" s="178"/>
      <c r="N811" s="178"/>
      <c r="O811" s="178"/>
      <c r="P811" s="178"/>
      <c r="Q811" s="178"/>
      <c r="R811" s="178"/>
      <c r="S811" s="178"/>
      <c r="T811" s="178"/>
      <c r="U811" s="178"/>
      <c r="V811" s="410"/>
      <c r="Z811" s="178"/>
      <c r="AA811" s="178"/>
      <c r="AB811" s="178"/>
      <c r="AC811" s="178"/>
      <c r="AD811" s="178"/>
      <c r="AE811" s="178"/>
      <c r="AF811" s="178"/>
      <c r="AG811" s="178"/>
      <c r="AH811" s="178"/>
      <c r="AI811" s="178"/>
      <c r="AJ811" s="178"/>
      <c r="AK811" s="178"/>
      <c r="AL811" s="178"/>
      <c r="AM811" s="178"/>
      <c r="AN811" s="178"/>
      <c r="AO811" s="178"/>
      <c r="AP811" s="178"/>
      <c r="AQ811" s="178"/>
      <c r="AR811" s="178"/>
      <c r="AS811" s="178"/>
    </row>
    <row r="812" spans="1:45" s="21" customFormat="1" x14ac:dyDescent="0.4">
      <c r="A812" s="27"/>
      <c r="B812" s="645"/>
      <c r="C812" s="645"/>
      <c r="D812" s="131"/>
      <c r="F812" s="178"/>
      <c r="G812" s="178"/>
      <c r="H812" s="127"/>
      <c r="I812" s="178"/>
      <c r="J812" s="178"/>
      <c r="K812" s="178"/>
      <c r="L812" s="178"/>
      <c r="M812" s="178"/>
      <c r="N812" s="178"/>
      <c r="O812" s="178"/>
      <c r="P812" s="178"/>
      <c r="Q812" s="178"/>
      <c r="R812" s="178"/>
      <c r="S812" s="178"/>
      <c r="T812" s="178"/>
      <c r="U812" s="178"/>
      <c r="V812" s="410"/>
      <c r="Z812" s="178"/>
      <c r="AA812" s="178"/>
      <c r="AB812" s="178"/>
      <c r="AC812" s="178"/>
      <c r="AD812" s="178"/>
      <c r="AE812" s="178"/>
      <c r="AF812" s="178"/>
      <c r="AG812" s="178"/>
      <c r="AH812" s="178"/>
      <c r="AI812" s="178"/>
      <c r="AJ812" s="178"/>
      <c r="AK812" s="178"/>
      <c r="AL812" s="178"/>
      <c r="AM812" s="178"/>
      <c r="AN812" s="178"/>
      <c r="AO812" s="178"/>
      <c r="AP812" s="178"/>
      <c r="AQ812" s="178"/>
      <c r="AR812" s="178"/>
      <c r="AS812" s="178"/>
    </row>
    <row r="813" spans="1:45" s="21" customFormat="1" x14ac:dyDescent="0.4">
      <c r="A813" s="27"/>
      <c r="B813" s="645"/>
      <c r="C813" s="645"/>
      <c r="D813" s="131"/>
      <c r="F813" s="178"/>
      <c r="G813" s="178"/>
      <c r="H813" s="127"/>
      <c r="I813" s="178"/>
      <c r="J813" s="178"/>
      <c r="K813" s="178"/>
      <c r="L813" s="178"/>
      <c r="M813" s="178"/>
      <c r="N813" s="178"/>
      <c r="O813" s="178"/>
      <c r="P813" s="178"/>
      <c r="Q813" s="178"/>
      <c r="R813" s="178"/>
      <c r="S813" s="178"/>
      <c r="T813" s="178"/>
      <c r="U813" s="178"/>
      <c r="V813" s="410"/>
      <c r="Z813" s="178"/>
      <c r="AA813" s="178"/>
      <c r="AB813" s="178"/>
      <c r="AC813" s="178"/>
      <c r="AD813" s="178"/>
      <c r="AE813" s="178"/>
      <c r="AF813" s="178"/>
      <c r="AG813" s="178"/>
      <c r="AH813" s="178"/>
      <c r="AI813" s="178"/>
      <c r="AJ813" s="178"/>
      <c r="AK813" s="178"/>
      <c r="AL813" s="178"/>
      <c r="AM813" s="178"/>
      <c r="AN813" s="178"/>
      <c r="AO813" s="178"/>
      <c r="AP813" s="178"/>
      <c r="AQ813" s="178"/>
      <c r="AR813" s="178"/>
      <c r="AS813" s="178"/>
    </row>
    <row r="814" spans="1:45" s="21" customFormat="1" x14ac:dyDescent="0.4">
      <c r="A814" s="27"/>
      <c r="B814" s="645"/>
      <c r="C814" s="645"/>
      <c r="D814" s="131"/>
      <c r="F814" s="178"/>
      <c r="G814" s="178"/>
      <c r="H814" s="127"/>
      <c r="I814" s="178"/>
      <c r="J814" s="178"/>
      <c r="K814" s="178"/>
      <c r="L814" s="178"/>
      <c r="M814" s="178"/>
      <c r="N814" s="178"/>
      <c r="O814" s="178"/>
      <c r="P814" s="178"/>
      <c r="Q814" s="178"/>
      <c r="R814" s="178"/>
      <c r="S814" s="178"/>
      <c r="T814" s="178"/>
      <c r="U814" s="178"/>
      <c r="V814" s="410"/>
      <c r="Z814" s="178"/>
      <c r="AA814" s="178"/>
      <c r="AB814" s="178"/>
      <c r="AC814" s="178"/>
      <c r="AD814" s="178"/>
      <c r="AE814" s="178"/>
      <c r="AF814" s="178"/>
      <c r="AG814" s="178"/>
      <c r="AH814" s="178"/>
      <c r="AI814" s="178"/>
      <c r="AJ814" s="178"/>
      <c r="AK814" s="178"/>
      <c r="AL814" s="178"/>
      <c r="AM814" s="178"/>
      <c r="AN814" s="178"/>
      <c r="AO814" s="178"/>
      <c r="AP814" s="178"/>
      <c r="AQ814" s="178"/>
      <c r="AR814" s="178"/>
      <c r="AS814" s="178"/>
    </row>
    <row r="815" spans="1:45" s="21" customFormat="1" x14ac:dyDescent="0.4">
      <c r="A815" s="27"/>
      <c r="B815" s="645"/>
      <c r="C815" s="645"/>
      <c r="D815" s="131"/>
      <c r="F815" s="178"/>
      <c r="G815" s="178"/>
      <c r="H815" s="127"/>
      <c r="I815" s="178"/>
      <c r="J815" s="178"/>
      <c r="K815" s="178"/>
      <c r="L815" s="178"/>
      <c r="M815" s="178"/>
      <c r="N815" s="178"/>
      <c r="O815" s="178"/>
      <c r="P815" s="178"/>
      <c r="Q815" s="178"/>
      <c r="R815" s="178"/>
      <c r="S815" s="178"/>
      <c r="T815" s="178"/>
      <c r="U815" s="178"/>
      <c r="V815" s="410"/>
      <c r="Z815" s="178"/>
      <c r="AA815" s="178"/>
      <c r="AB815" s="178"/>
      <c r="AC815" s="178"/>
      <c r="AD815" s="178"/>
      <c r="AE815" s="178"/>
      <c r="AF815" s="178"/>
      <c r="AG815" s="178"/>
      <c r="AH815" s="178"/>
      <c r="AI815" s="178"/>
      <c r="AJ815" s="178"/>
      <c r="AK815" s="178"/>
      <c r="AL815" s="178"/>
      <c r="AM815" s="178"/>
      <c r="AN815" s="178"/>
      <c r="AO815" s="178"/>
      <c r="AP815" s="178"/>
      <c r="AQ815" s="178"/>
      <c r="AR815" s="178"/>
      <c r="AS815" s="178"/>
    </row>
    <row r="816" spans="1:45" s="21" customFormat="1" x14ac:dyDescent="0.4">
      <c r="A816" s="27"/>
      <c r="B816" s="645"/>
      <c r="C816" s="645"/>
      <c r="D816" s="131"/>
      <c r="F816" s="178"/>
      <c r="G816" s="178"/>
      <c r="H816" s="127"/>
      <c r="I816" s="178"/>
      <c r="J816" s="178"/>
      <c r="K816" s="178"/>
      <c r="L816" s="178"/>
      <c r="M816" s="178"/>
      <c r="N816" s="178"/>
      <c r="O816" s="178"/>
      <c r="P816" s="178"/>
      <c r="Q816" s="178"/>
      <c r="R816" s="178"/>
      <c r="S816" s="178"/>
      <c r="T816" s="178"/>
      <c r="U816" s="178"/>
      <c r="V816" s="410"/>
      <c r="Z816" s="178"/>
      <c r="AA816" s="178"/>
      <c r="AB816" s="178"/>
      <c r="AC816" s="178"/>
      <c r="AD816" s="178"/>
      <c r="AE816" s="178"/>
      <c r="AF816" s="178"/>
      <c r="AG816" s="178"/>
      <c r="AH816" s="178"/>
      <c r="AI816" s="178"/>
      <c r="AJ816" s="178"/>
      <c r="AK816" s="178"/>
      <c r="AL816" s="178"/>
      <c r="AM816" s="178"/>
      <c r="AN816" s="178"/>
      <c r="AO816" s="178"/>
      <c r="AP816" s="178"/>
      <c r="AQ816" s="178"/>
      <c r="AR816" s="178"/>
      <c r="AS816" s="178"/>
    </row>
    <row r="817" spans="1:45" s="21" customFormat="1" x14ac:dyDescent="0.4">
      <c r="A817" s="27"/>
      <c r="B817" s="645"/>
      <c r="C817" s="645"/>
      <c r="D817" s="131"/>
      <c r="F817" s="178"/>
      <c r="G817" s="178"/>
      <c r="H817" s="127"/>
      <c r="I817" s="178"/>
      <c r="J817" s="178"/>
      <c r="K817" s="178"/>
      <c r="L817" s="178"/>
      <c r="M817" s="178"/>
      <c r="N817" s="178"/>
      <c r="O817" s="178"/>
      <c r="P817" s="178"/>
      <c r="Q817" s="178"/>
      <c r="R817" s="178"/>
      <c r="S817" s="178"/>
      <c r="T817" s="178"/>
      <c r="U817" s="178"/>
      <c r="V817" s="410"/>
      <c r="Z817" s="178"/>
      <c r="AA817" s="178"/>
      <c r="AB817" s="178"/>
      <c r="AC817" s="178"/>
      <c r="AD817" s="178"/>
      <c r="AE817" s="178"/>
      <c r="AF817" s="178"/>
      <c r="AG817" s="178"/>
      <c r="AH817" s="178"/>
      <c r="AI817" s="178"/>
      <c r="AJ817" s="178"/>
      <c r="AK817" s="178"/>
      <c r="AL817" s="178"/>
      <c r="AM817" s="178"/>
      <c r="AN817" s="178"/>
      <c r="AO817" s="178"/>
      <c r="AP817" s="178"/>
      <c r="AQ817" s="178"/>
      <c r="AR817" s="178"/>
      <c r="AS817" s="178"/>
    </row>
    <row r="818" spans="1:45" s="21" customFormat="1" x14ac:dyDescent="0.4">
      <c r="A818" s="27"/>
      <c r="B818" s="645"/>
      <c r="C818" s="645"/>
      <c r="D818" s="131"/>
      <c r="F818" s="178"/>
      <c r="G818" s="178"/>
      <c r="H818" s="127"/>
      <c r="I818" s="178"/>
      <c r="J818" s="178"/>
      <c r="K818" s="178"/>
      <c r="L818" s="178"/>
      <c r="M818" s="178"/>
      <c r="N818" s="178"/>
      <c r="O818" s="178"/>
      <c r="P818" s="178"/>
      <c r="Q818" s="178"/>
      <c r="R818" s="178"/>
      <c r="S818" s="178"/>
      <c r="T818" s="178"/>
      <c r="U818" s="178"/>
      <c r="V818" s="410"/>
      <c r="Z818" s="178"/>
      <c r="AA818" s="178"/>
      <c r="AB818" s="178"/>
      <c r="AC818" s="178"/>
      <c r="AD818" s="178"/>
      <c r="AE818" s="178"/>
      <c r="AF818" s="178"/>
      <c r="AG818" s="178"/>
      <c r="AH818" s="178"/>
      <c r="AI818" s="178"/>
      <c r="AJ818" s="178"/>
      <c r="AK818" s="178"/>
      <c r="AL818" s="178"/>
      <c r="AM818" s="178"/>
      <c r="AN818" s="178"/>
      <c r="AO818" s="178"/>
      <c r="AP818" s="178"/>
      <c r="AQ818" s="178"/>
      <c r="AR818" s="178"/>
      <c r="AS818" s="178"/>
    </row>
    <row r="819" spans="1:45" s="21" customFormat="1" x14ac:dyDescent="0.4">
      <c r="A819" s="27"/>
      <c r="B819" s="645"/>
      <c r="C819" s="645"/>
      <c r="D819" s="131"/>
      <c r="F819" s="178"/>
      <c r="G819" s="178"/>
      <c r="H819" s="127"/>
      <c r="I819" s="178"/>
      <c r="J819" s="178"/>
      <c r="K819" s="178"/>
      <c r="L819" s="178"/>
      <c r="M819" s="178"/>
      <c r="N819" s="178"/>
      <c r="O819" s="178"/>
      <c r="P819" s="178"/>
      <c r="Q819" s="178"/>
      <c r="R819" s="178"/>
      <c r="S819" s="178"/>
      <c r="T819" s="178"/>
      <c r="U819" s="178"/>
      <c r="V819" s="410"/>
      <c r="Z819" s="178"/>
      <c r="AA819" s="178"/>
      <c r="AB819" s="178"/>
      <c r="AC819" s="178"/>
      <c r="AD819" s="178"/>
      <c r="AE819" s="178"/>
      <c r="AF819" s="178"/>
      <c r="AG819" s="178"/>
      <c r="AH819" s="178"/>
      <c r="AI819" s="178"/>
      <c r="AJ819" s="178"/>
      <c r="AK819" s="178"/>
      <c r="AL819" s="178"/>
      <c r="AM819" s="178"/>
      <c r="AN819" s="178"/>
      <c r="AO819" s="178"/>
      <c r="AP819" s="178"/>
      <c r="AQ819" s="178"/>
      <c r="AR819" s="178"/>
      <c r="AS819" s="178"/>
    </row>
    <row r="820" spans="1:45" s="21" customFormat="1" x14ac:dyDescent="0.4">
      <c r="A820" s="27"/>
      <c r="B820" s="645"/>
      <c r="C820" s="645"/>
      <c r="D820" s="131"/>
      <c r="F820" s="178"/>
      <c r="G820" s="178"/>
      <c r="H820" s="127"/>
      <c r="I820" s="178"/>
      <c r="J820" s="178"/>
      <c r="K820" s="178"/>
      <c r="L820" s="178"/>
      <c r="M820" s="178"/>
      <c r="N820" s="178"/>
      <c r="O820" s="178"/>
      <c r="P820" s="178"/>
      <c r="Q820" s="178"/>
      <c r="R820" s="178"/>
      <c r="S820" s="178"/>
      <c r="T820" s="178"/>
      <c r="U820" s="178"/>
      <c r="V820" s="410"/>
      <c r="Z820" s="178"/>
      <c r="AA820" s="178"/>
      <c r="AB820" s="178"/>
      <c r="AC820" s="178"/>
      <c r="AD820" s="178"/>
      <c r="AE820" s="178"/>
      <c r="AF820" s="178"/>
      <c r="AG820" s="178"/>
      <c r="AH820" s="178"/>
      <c r="AI820" s="178"/>
      <c r="AJ820" s="178"/>
      <c r="AK820" s="178"/>
      <c r="AL820" s="178"/>
      <c r="AM820" s="178"/>
      <c r="AN820" s="178"/>
      <c r="AO820" s="178"/>
      <c r="AP820" s="178"/>
      <c r="AQ820" s="178"/>
      <c r="AR820" s="178"/>
      <c r="AS820" s="178"/>
    </row>
    <row r="821" spans="1:45" s="21" customFormat="1" x14ac:dyDescent="0.4">
      <c r="A821" s="27"/>
      <c r="B821" s="645"/>
      <c r="C821" s="645"/>
      <c r="D821" s="131"/>
      <c r="F821" s="178"/>
      <c r="G821" s="178"/>
      <c r="H821" s="127"/>
      <c r="I821" s="178"/>
      <c r="J821" s="178"/>
      <c r="K821" s="178"/>
      <c r="L821" s="178"/>
      <c r="M821" s="178"/>
      <c r="N821" s="178"/>
      <c r="O821" s="178"/>
      <c r="P821" s="178"/>
      <c r="Q821" s="178"/>
      <c r="R821" s="178"/>
      <c r="S821" s="178"/>
      <c r="T821" s="178"/>
      <c r="U821" s="178"/>
      <c r="V821" s="410"/>
      <c r="Z821" s="178"/>
      <c r="AA821" s="178"/>
      <c r="AB821" s="178"/>
      <c r="AC821" s="178"/>
      <c r="AD821" s="178"/>
      <c r="AE821" s="178"/>
      <c r="AF821" s="178"/>
      <c r="AG821" s="178"/>
      <c r="AH821" s="178"/>
      <c r="AI821" s="178"/>
      <c r="AJ821" s="178"/>
      <c r="AK821" s="178"/>
      <c r="AL821" s="178"/>
      <c r="AM821" s="178"/>
      <c r="AN821" s="178"/>
      <c r="AO821" s="178"/>
      <c r="AP821" s="178"/>
      <c r="AQ821" s="178"/>
      <c r="AR821" s="178"/>
      <c r="AS821" s="178"/>
    </row>
    <row r="822" spans="1:45" s="21" customFormat="1" x14ac:dyDescent="0.4">
      <c r="A822" s="27"/>
      <c r="B822" s="645"/>
      <c r="C822" s="645"/>
      <c r="D822" s="131"/>
      <c r="F822" s="178"/>
      <c r="G822" s="178"/>
      <c r="H822" s="127"/>
      <c r="I822" s="178"/>
      <c r="J822" s="178"/>
      <c r="K822" s="178"/>
      <c r="L822" s="178"/>
      <c r="M822" s="178"/>
      <c r="N822" s="178"/>
      <c r="O822" s="178"/>
      <c r="P822" s="178"/>
      <c r="Q822" s="178"/>
      <c r="R822" s="178"/>
      <c r="S822" s="178"/>
      <c r="T822" s="178"/>
      <c r="U822" s="178"/>
      <c r="V822" s="410"/>
      <c r="Z822" s="178"/>
      <c r="AA822" s="178"/>
      <c r="AB822" s="178"/>
      <c r="AC822" s="178"/>
      <c r="AD822" s="178"/>
      <c r="AE822" s="178"/>
      <c r="AF822" s="178"/>
      <c r="AG822" s="178"/>
      <c r="AH822" s="178"/>
      <c r="AI822" s="178"/>
      <c r="AJ822" s="178"/>
      <c r="AK822" s="178"/>
      <c r="AL822" s="178"/>
      <c r="AM822" s="178"/>
      <c r="AN822" s="178"/>
      <c r="AO822" s="178"/>
      <c r="AP822" s="178"/>
      <c r="AQ822" s="178"/>
      <c r="AR822" s="178"/>
      <c r="AS822" s="178"/>
    </row>
    <row r="823" spans="1:45" s="21" customFormat="1" x14ac:dyDescent="0.4">
      <c r="A823" s="27"/>
      <c r="B823" s="645"/>
      <c r="C823" s="645"/>
      <c r="D823" s="131"/>
      <c r="F823" s="178"/>
      <c r="G823" s="178"/>
      <c r="H823" s="127"/>
      <c r="I823" s="178"/>
      <c r="J823" s="178"/>
      <c r="K823" s="178"/>
      <c r="L823" s="178"/>
      <c r="M823" s="178"/>
      <c r="N823" s="178"/>
      <c r="O823" s="178"/>
      <c r="P823" s="178"/>
      <c r="Q823" s="178"/>
      <c r="R823" s="178"/>
      <c r="S823" s="178"/>
      <c r="T823" s="178"/>
      <c r="U823" s="178"/>
      <c r="V823" s="410"/>
      <c r="Z823" s="178"/>
      <c r="AA823" s="178"/>
      <c r="AB823" s="178"/>
      <c r="AC823" s="178"/>
      <c r="AD823" s="178"/>
      <c r="AE823" s="178"/>
      <c r="AF823" s="178"/>
      <c r="AG823" s="178"/>
      <c r="AH823" s="178"/>
      <c r="AI823" s="178"/>
      <c r="AJ823" s="178"/>
      <c r="AK823" s="178"/>
      <c r="AL823" s="178"/>
      <c r="AM823" s="178"/>
      <c r="AN823" s="178"/>
      <c r="AO823" s="178"/>
      <c r="AP823" s="178"/>
      <c r="AQ823" s="178"/>
      <c r="AR823" s="178"/>
      <c r="AS823" s="178"/>
    </row>
    <row r="824" spans="1:45" s="21" customFormat="1" x14ac:dyDescent="0.4">
      <c r="A824" s="27"/>
      <c r="B824" s="645"/>
      <c r="C824" s="645"/>
      <c r="D824" s="131"/>
      <c r="F824" s="178"/>
      <c r="G824" s="178"/>
      <c r="H824" s="127"/>
      <c r="I824" s="178"/>
      <c r="J824" s="178"/>
      <c r="K824" s="178"/>
      <c r="L824" s="178"/>
      <c r="M824" s="178"/>
      <c r="N824" s="178"/>
      <c r="O824" s="178"/>
      <c r="P824" s="178"/>
      <c r="Q824" s="178"/>
      <c r="R824" s="178"/>
      <c r="S824" s="178"/>
      <c r="T824" s="178"/>
      <c r="U824" s="178"/>
      <c r="V824" s="410"/>
      <c r="Z824" s="178"/>
      <c r="AA824" s="178"/>
      <c r="AB824" s="178"/>
      <c r="AC824" s="178"/>
      <c r="AD824" s="178"/>
      <c r="AE824" s="178"/>
      <c r="AF824" s="178"/>
      <c r="AG824" s="178"/>
      <c r="AH824" s="178"/>
      <c r="AI824" s="178"/>
      <c r="AJ824" s="178"/>
      <c r="AK824" s="178"/>
      <c r="AL824" s="178"/>
      <c r="AM824" s="178"/>
      <c r="AN824" s="178"/>
      <c r="AO824" s="178"/>
      <c r="AP824" s="178"/>
      <c r="AQ824" s="178"/>
      <c r="AR824" s="178"/>
      <c r="AS824" s="178"/>
    </row>
    <row r="825" spans="1:45" s="21" customFormat="1" x14ac:dyDescent="0.4">
      <c r="A825" s="27"/>
      <c r="B825" s="645"/>
      <c r="C825" s="645"/>
      <c r="D825" s="131"/>
      <c r="F825" s="178"/>
      <c r="G825" s="178"/>
      <c r="H825" s="127"/>
      <c r="I825" s="178"/>
      <c r="J825" s="178"/>
      <c r="K825" s="178"/>
      <c r="L825" s="178"/>
      <c r="M825" s="178"/>
      <c r="N825" s="178"/>
      <c r="O825" s="178"/>
      <c r="P825" s="178"/>
      <c r="Q825" s="178"/>
      <c r="R825" s="178"/>
      <c r="S825" s="178"/>
      <c r="T825" s="178"/>
      <c r="U825" s="178"/>
      <c r="V825" s="410"/>
      <c r="Z825" s="178"/>
      <c r="AA825" s="178"/>
      <c r="AB825" s="178"/>
      <c r="AC825" s="178"/>
      <c r="AD825" s="178"/>
      <c r="AE825" s="178"/>
      <c r="AF825" s="178"/>
      <c r="AG825" s="178"/>
      <c r="AH825" s="178"/>
      <c r="AI825" s="178"/>
      <c r="AJ825" s="178"/>
      <c r="AK825" s="178"/>
      <c r="AL825" s="178"/>
      <c r="AM825" s="178"/>
      <c r="AN825" s="178"/>
      <c r="AO825" s="178"/>
      <c r="AP825" s="178"/>
      <c r="AQ825" s="178"/>
      <c r="AR825" s="178"/>
      <c r="AS825" s="178"/>
    </row>
    <row r="826" spans="1:45" s="21" customFormat="1" x14ac:dyDescent="0.4">
      <c r="A826" s="27"/>
      <c r="B826" s="645"/>
      <c r="C826" s="645"/>
      <c r="D826" s="131" t="s">
        <v>44</v>
      </c>
      <c r="F826" s="178"/>
      <c r="G826" s="178"/>
      <c r="H826" s="127"/>
      <c r="I826" s="178"/>
      <c r="J826" s="178"/>
      <c r="K826" s="178"/>
      <c r="L826" s="178"/>
      <c r="M826" s="178"/>
      <c r="N826" s="178"/>
      <c r="O826" s="178"/>
      <c r="P826" s="178"/>
      <c r="Q826" s="178"/>
      <c r="R826" s="178"/>
      <c r="S826" s="178"/>
      <c r="T826" s="178"/>
      <c r="U826" s="178"/>
      <c r="V826" s="410"/>
      <c r="Z826" s="178"/>
      <c r="AA826" s="178"/>
      <c r="AB826" s="178"/>
      <c r="AC826" s="178"/>
      <c r="AD826" s="178"/>
      <c r="AE826" s="178"/>
      <c r="AF826" s="178"/>
      <c r="AG826" s="178"/>
      <c r="AH826" s="178"/>
      <c r="AI826" s="178"/>
      <c r="AJ826" s="178"/>
      <c r="AK826" s="178"/>
      <c r="AL826" s="178"/>
      <c r="AM826" s="178"/>
      <c r="AN826" s="178"/>
      <c r="AO826" s="178"/>
      <c r="AP826" s="178"/>
      <c r="AQ826" s="178"/>
      <c r="AR826" s="178"/>
      <c r="AS826" s="178"/>
    </row>
    <row r="827" spans="1:45" s="21" customFormat="1" x14ac:dyDescent="0.4">
      <c r="A827" s="27"/>
      <c r="B827" s="645"/>
      <c r="C827" s="645"/>
      <c r="D827" s="131"/>
      <c r="F827" s="178"/>
      <c r="G827" s="178"/>
      <c r="H827" s="127"/>
      <c r="I827" s="178"/>
      <c r="J827" s="178"/>
      <c r="K827" s="178"/>
      <c r="L827" s="178"/>
      <c r="M827" s="178"/>
      <c r="N827" s="178"/>
      <c r="O827" s="178"/>
      <c r="P827" s="178"/>
      <c r="Q827" s="178"/>
      <c r="R827" s="178"/>
      <c r="S827" s="178"/>
      <c r="T827" s="178"/>
      <c r="U827" s="178"/>
      <c r="V827" s="410"/>
      <c r="Z827" s="178"/>
      <c r="AA827" s="178"/>
      <c r="AB827" s="178"/>
      <c r="AC827" s="178"/>
      <c r="AD827" s="178"/>
      <c r="AE827" s="178"/>
      <c r="AF827" s="178"/>
      <c r="AG827" s="178"/>
      <c r="AH827" s="178"/>
      <c r="AI827" s="178"/>
      <c r="AJ827" s="178"/>
      <c r="AK827" s="178"/>
      <c r="AL827" s="178"/>
      <c r="AM827" s="178"/>
      <c r="AN827" s="178"/>
      <c r="AO827" s="178"/>
      <c r="AP827" s="178"/>
      <c r="AQ827" s="178"/>
      <c r="AR827" s="178"/>
      <c r="AS827" s="178"/>
    </row>
    <row r="828" spans="1:45" s="54" customFormat="1" ht="46.5" customHeight="1" x14ac:dyDescent="0.85">
      <c r="A828" s="657"/>
      <c r="B828" s="657"/>
      <c r="C828" s="657"/>
      <c r="E828" s="667" t="s">
        <v>362</v>
      </c>
      <c r="F828" s="92"/>
      <c r="G828" s="92"/>
      <c r="H828" s="93"/>
      <c r="I828" s="92"/>
      <c r="J828" s="92"/>
      <c r="K828" s="92"/>
      <c r="L828" s="92"/>
      <c r="M828" s="92"/>
      <c r="N828" s="92"/>
      <c r="O828" s="92"/>
      <c r="P828" s="92"/>
      <c r="Q828" s="92"/>
      <c r="R828" s="92"/>
      <c r="S828" s="92"/>
      <c r="T828" s="92"/>
      <c r="U828" s="92"/>
      <c r="V828" s="424"/>
      <c r="Y828" s="54" t="s">
        <v>166</v>
      </c>
      <c r="Z828" s="92"/>
      <c r="AA828" s="92"/>
      <c r="AB828" s="92"/>
      <c r="AC828" s="92"/>
      <c r="AD828" s="92"/>
      <c r="AE828" s="92"/>
      <c r="AF828" s="92"/>
      <c r="AG828" s="92"/>
      <c r="AH828" s="92"/>
      <c r="AI828" s="92"/>
      <c r="AJ828" s="92"/>
      <c r="AK828" s="92"/>
      <c r="AL828" s="92"/>
      <c r="AM828" s="92"/>
      <c r="AN828" s="92"/>
      <c r="AO828" s="92"/>
      <c r="AP828" s="92"/>
      <c r="AQ828" s="92"/>
      <c r="AR828" s="92"/>
      <c r="AS828" s="92"/>
    </row>
    <row r="829" spans="1:45" s="141" customFormat="1" ht="37.5" customHeight="1" x14ac:dyDescent="0.4">
      <c r="A829" s="658"/>
      <c r="B829" s="658"/>
      <c r="C829" s="658"/>
      <c r="D829" s="139"/>
      <c r="E829" s="140" t="s">
        <v>374</v>
      </c>
      <c r="F829" s="363"/>
      <c r="G829" s="363"/>
      <c r="H829" s="365"/>
      <c r="I829" s="363"/>
      <c r="J829" s="363"/>
      <c r="K829" s="363"/>
      <c r="L829" s="363"/>
      <c r="M829" s="363"/>
      <c r="N829" s="363"/>
      <c r="O829" s="363"/>
      <c r="P829" s="363"/>
      <c r="Q829" s="363"/>
      <c r="R829" s="363"/>
      <c r="S829" s="363"/>
      <c r="T829" s="363"/>
      <c r="U829" s="363"/>
      <c r="V829" s="425"/>
      <c r="W829" s="139"/>
      <c r="X829" s="139"/>
      <c r="Y829" s="140" t="s">
        <v>473</v>
      </c>
      <c r="Z829" s="400"/>
      <c r="AA829" s="400"/>
      <c r="AB829" s="400"/>
      <c r="AC829" s="400"/>
      <c r="AD829" s="400"/>
      <c r="AE829" s="400"/>
      <c r="AF829" s="400"/>
      <c r="AG829" s="400"/>
      <c r="AH829" s="400"/>
      <c r="AI829" s="400"/>
      <c r="AJ829" s="400"/>
      <c r="AK829" s="400"/>
      <c r="AL829" s="400"/>
      <c r="AM829" s="400"/>
      <c r="AN829" s="400"/>
      <c r="AO829" s="400"/>
      <c r="AP829" s="400"/>
      <c r="AQ829" s="400"/>
      <c r="AR829" s="400"/>
      <c r="AS829" s="400"/>
    </row>
    <row r="830" spans="1:45" s="21" customFormat="1" x14ac:dyDescent="0.4">
      <c r="A830" s="27"/>
      <c r="B830" s="645"/>
      <c r="C830" s="645"/>
      <c r="D830" s="131" t="s">
        <v>44</v>
      </c>
      <c r="F830" s="178"/>
      <c r="G830" s="178"/>
      <c r="H830" s="127"/>
      <c r="I830" s="178"/>
      <c r="J830" s="178"/>
      <c r="K830" s="178"/>
      <c r="L830" s="178"/>
      <c r="M830" s="178"/>
      <c r="N830" s="178"/>
      <c r="O830" s="178"/>
      <c r="P830" s="178"/>
      <c r="Q830" s="178"/>
      <c r="R830" s="178"/>
      <c r="S830" s="178"/>
      <c r="T830" s="178"/>
      <c r="U830" s="178"/>
      <c r="V830" s="410"/>
      <c r="Z830" s="178"/>
      <c r="AA830" s="178"/>
      <c r="AB830" s="178"/>
      <c r="AC830" s="178"/>
      <c r="AD830" s="178"/>
      <c r="AE830" s="178"/>
      <c r="AF830" s="178"/>
      <c r="AG830" s="178"/>
      <c r="AH830" s="178"/>
      <c r="AI830" s="178"/>
      <c r="AJ830" s="178"/>
      <c r="AK830" s="178"/>
      <c r="AL830" s="178"/>
      <c r="AM830" s="178"/>
      <c r="AN830" s="178"/>
      <c r="AO830" s="178"/>
      <c r="AP830" s="178"/>
      <c r="AQ830" s="178"/>
      <c r="AR830" s="178"/>
      <c r="AS830" s="178"/>
    </row>
    <row r="831" spans="1:45" ht="47.4" customHeight="1" x14ac:dyDescent="0.4">
      <c r="D831" s="123"/>
      <c r="E831" s="1442" t="str">
        <f>"STAÐAN ÁRIÐ "&amp;$A$1</f>
        <v>STAÐAN ÁRIÐ 2025</v>
      </c>
      <c r="F831" s="581"/>
      <c r="G831" s="581"/>
      <c r="H831" s="581"/>
      <c r="I831" s="581"/>
      <c r="J831" s="581"/>
      <c r="K831" s="581"/>
      <c r="L831" s="581"/>
      <c r="M831" s="581"/>
      <c r="O831" s="1442" t="str">
        <f>$O$5</f>
        <v>FRAMTÍÐARHORFUR</v>
      </c>
      <c r="P831" s="1444" t="str">
        <f>$P$5</f>
        <v>Áætluð breyting í losun út frá
sviðsmynd byggð á aðgerðum stjórvalda</v>
      </c>
      <c r="Q831" s="1445"/>
      <c r="R831" s="1445"/>
      <c r="S831" s="1445"/>
      <c r="V831" s="162"/>
      <c r="Y831" s="1442" t="str">
        <f>$Y$5</f>
        <v>2025 EMISSIONS</v>
      </c>
      <c r="Z831" s="581"/>
      <c r="AA831" s="581"/>
      <c r="AB831" s="581"/>
      <c r="AC831" s="581"/>
      <c r="AD831" s="581"/>
      <c r="AE831" s="581"/>
      <c r="AF831" s="581"/>
      <c r="AG831" s="581"/>
      <c r="AH831" s="178"/>
      <c r="AI831" s="1442" t="str">
        <f>$AI$5</f>
        <v>OUTLOOKS</v>
      </c>
      <c r="AJ831" s="1444" t="str">
        <f>$AJ$5</f>
        <v>Estimated change in emissions based on
government policy-based scenario</v>
      </c>
      <c r="AK831" s="1445"/>
      <c r="AL831" s="1445"/>
      <c r="AM831" s="1445"/>
    </row>
    <row r="832" spans="1:45" s="21" customFormat="1" ht="16.95" customHeight="1" x14ac:dyDescent="0.4">
      <c r="A832" s="27"/>
      <c r="B832" s="645"/>
      <c r="C832" s="645"/>
      <c r="D832" s="131" t="s">
        <v>44</v>
      </c>
      <c r="E832" s="1442"/>
      <c r="F832" s="1446" t="str">
        <f>"Losun "&amp;$A$1</f>
        <v>Losun 2025</v>
      </c>
      <c r="G832" s="1447"/>
      <c r="H832" s="1448" t="str">
        <f>"Breyting frá "&amp;$B$3</f>
        <v>Breyting frá 2024</v>
      </c>
      <c r="I832" s="1447"/>
      <c r="J832" s="1448" t="str">
        <f>"Breyting frá "&amp;$B$2</f>
        <v>Breyting frá 2005</v>
      </c>
      <c r="K832" s="1447"/>
      <c r="L832" s="1448" t="str">
        <f>"Breyting frá "&amp;$B$1</f>
        <v>Breyting frá 1990</v>
      </c>
      <c r="M832" s="1446"/>
      <c r="N832" s="127"/>
      <c r="O832" s="1442"/>
      <c r="P832" s="1448" t="s">
        <v>342</v>
      </c>
      <c r="Q832" s="1447"/>
      <c r="R832" s="1448" t="s">
        <v>343</v>
      </c>
      <c r="S832" s="1446"/>
      <c r="T832" s="178"/>
      <c r="U832" s="178"/>
      <c r="V832" s="410"/>
      <c r="Y832" s="1442"/>
      <c r="Z832" s="1449" t="str">
        <f>$Z$6</f>
        <v>Emissions in 2025</v>
      </c>
      <c r="AA832" s="1447"/>
      <c r="AB832" s="1448" t="str">
        <f>$AB$6</f>
        <v>Change from 2024</v>
      </c>
      <c r="AC832" s="1447"/>
      <c r="AD832" s="1448" t="str">
        <f>$AD$6</f>
        <v>Change from 2005</v>
      </c>
      <c r="AE832" s="1447"/>
      <c r="AF832" s="1448" t="str">
        <f>$AF$6</f>
        <v>Change from 1990</v>
      </c>
      <c r="AG832" s="1446"/>
      <c r="AH832" s="178"/>
      <c r="AI832" s="1442"/>
      <c r="AJ832" s="1449" t="str">
        <f>$AJ$6</f>
        <v>2030 compared to 2005</v>
      </c>
      <c r="AK832" s="1447"/>
      <c r="AL832" s="1448" t="str">
        <f>$AL$6</f>
        <v>2055 compared to 1990</v>
      </c>
      <c r="AM832" s="1446"/>
      <c r="AN832" s="178"/>
      <c r="AO832" s="178"/>
      <c r="AP832" s="178"/>
      <c r="AQ832" s="178"/>
      <c r="AR832" s="178"/>
      <c r="AS832" s="178"/>
    </row>
    <row r="833" spans="1:45" s="21" customFormat="1" ht="17.399999999999999" customHeight="1" thickBot="1" x14ac:dyDescent="0.45">
      <c r="A833" s="27"/>
      <c r="B833" s="645"/>
      <c r="C833" s="645"/>
      <c r="D833" s="131" t="s">
        <v>44</v>
      </c>
      <c r="E833" s="1443"/>
      <c r="F833" s="582" t="s">
        <v>352</v>
      </c>
      <c r="G833" s="583" t="s">
        <v>4</v>
      </c>
      <c r="H833" s="582" t="str">
        <f>$F$7</f>
        <v>Þús. tonn CO₂-íg.</v>
      </c>
      <c r="I833" s="583" t="s">
        <v>4</v>
      </c>
      <c r="J833" s="582" t="str">
        <f>$F$7</f>
        <v>Þús. tonn CO₂-íg.</v>
      </c>
      <c r="K833" s="583" t="s">
        <v>4</v>
      </c>
      <c r="L833" s="582" t="str">
        <f>$F$7</f>
        <v>Þús. tonn CO₂-íg.</v>
      </c>
      <c r="M833" s="582" t="s">
        <v>4</v>
      </c>
      <c r="N833" s="127"/>
      <c r="O833" s="1443"/>
      <c r="P833" s="582" t="str">
        <f>$F$7</f>
        <v>Þús. tonn CO₂-íg.</v>
      </c>
      <c r="Q833" s="583" t="s">
        <v>4</v>
      </c>
      <c r="R833" s="582" t="str">
        <f>$F$7</f>
        <v>Þús. tonn CO₂-íg.</v>
      </c>
      <c r="S833" s="582" t="s">
        <v>4</v>
      </c>
      <c r="T833" s="178"/>
      <c r="U833" s="178"/>
      <c r="V833" s="410"/>
      <c r="Y833" s="1443"/>
      <c r="Z833" s="582" t="str">
        <f>$Z$7</f>
        <v>Thousand tons CO₂e</v>
      </c>
      <c r="AA833" s="583" t="s">
        <v>4</v>
      </c>
      <c r="AB833" s="582" t="str">
        <f>$Z$7</f>
        <v>Thousand tons CO₂e</v>
      </c>
      <c r="AC833" s="583" t="s">
        <v>4</v>
      </c>
      <c r="AD833" s="582" t="str">
        <f>$F$7</f>
        <v>Þús. tonn CO₂-íg.</v>
      </c>
      <c r="AE833" s="583" t="s">
        <v>4</v>
      </c>
      <c r="AF833" s="582" t="str">
        <f>$Z$7</f>
        <v>Thousand tons CO₂e</v>
      </c>
      <c r="AG833" s="582" t="s">
        <v>4</v>
      </c>
      <c r="AH833" s="178"/>
      <c r="AI833" s="1443"/>
      <c r="AJ833" s="582" t="str">
        <f>$Z$7</f>
        <v>Thousand tons CO₂e</v>
      </c>
      <c r="AK833" s="583" t="s">
        <v>4</v>
      </c>
      <c r="AL833" s="582" t="str">
        <f>$Z$7</f>
        <v>Thousand tons CO₂e</v>
      </c>
      <c r="AM833" s="582" t="s">
        <v>4</v>
      </c>
      <c r="AN833" s="178"/>
      <c r="AO833" s="178"/>
      <c r="AP833" s="178"/>
      <c r="AQ833" s="178"/>
      <c r="AR833" s="178"/>
      <c r="AS833" s="178"/>
    </row>
    <row r="834" spans="1:45" s="21" customFormat="1" ht="21" customHeight="1" thickTop="1" x14ac:dyDescent="0.4">
      <c r="A834" s="27" t="s">
        <v>72</v>
      </c>
      <c r="B834" s="27" t="s">
        <v>295</v>
      </c>
      <c r="C834" s="27" t="s">
        <v>298</v>
      </c>
      <c r="D834" s="131" t="s">
        <v>44</v>
      </c>
      <c r="E834" s="599" t="str">
        <f>'Talnagögn | Numerical Data'!$E$248</f>
        <v>Alþjóðaflug</v>
      </c>
      <c r="F834" s="609" cm="1">
        <f t="array" ref="F834">INDEX('Talnagögn | Numerical Data'!$1:$1048576,_xlfn.XMATCH($A834,'Talnagögn | Numerical Data'!$B:$B),_xlfn.XMATCH($A$1,'Talnagögn | Numerical Data'!$1:$1))</f>
        <v>1009.6475620140002</v>
      </c>
      <c r="G834" s="600">
        <f>F834/$F$836</f>
        <v>0.77874670308373029</v>
      </c>
      <c r="H834" s="926" cm="1">
        <f t="array" ref="H834">INDEX('Talnagögn | Numerical Data'!$1:$1048576,_xlfn.XMATCH($A834,'Talnagögn | Numerical Data'!$B:$B),_xlfn.XMATCH($A$1,'Talnagögn | Numerical Data'!$1:$1))-INDEX('Talnagögn | Numerical Data'!$1:$1048576,_xlfn.XMATCH($A834,'Talnagögn | Numerical Data'!$B:$B),_xlfn.XMATCH($B$3,'Talnagögn | Numerical Data'!$1:$1))</f>
        <v>2.5909135162345365</v>
      </c>
      <c r="I834" s="925" cm="1">
        <f t="array" ref="I834">INDEX('Talnagögn | Numerical Data'!$1:$1048576,_xlfn.XMATCH($A834,'Talnagögn | Numerical Data'!$B:$B),_xlfn.XMATCH($A$1,'Talnagögn | Numerical Data'!$1:$1))/INDEX('Talnagögn | Numerical Data'!$1:$1048576,_xlfn.XMATCH($A834,'Talnagögn | Numerical Data'!$B:$B),_xlfn.XMATCH($B$3,'Talnagögn | Numerical Data'!$1:$1))-1</f>
        <v>2.5727584640837797E-3</v>
      </c>
      <c r="J834" s="592" cm="1">
        <f t="array" ref="J834">INDEX('Talnagögn | Numerical Data'!$1:$1048576,_xlfn.XMATCH($A834,'Talnagögn | Numerical Data'!$B:$B),_xlfn.XMATCH($A$1,'Talnagögn | Numerical Data'!$1:$1))-INDEX('Talnagögn | Numerical Data'!$1:$1048576,_xlfn.XMATCH($A834,'Talnagögn | Numerical Data'!$B:$B),_xlfn.XMATCH($B$2,'Talnagögn | Numerical Data'!$1:$1))</f>
        <v>585.21751383120022</v>
      </c>
      <c r="K834" s="600" cm="1">
        <f t="array" ref="K834">INDEX('Talnagögn | Numerical Data'!$1:$1048576,_xlfn.XMATCH($A834,'Talnagögn | Numerical Data'!$B:$B),_xlfn.XMATCH($A$1,'Talnagögn | Numerical Data'!$1:$1))/INDEX('Talnagögn | Numerical Data'!$1:$1048576,_xlfn.XMATCH($A834,'Talnagögn | Numerical Data'!$B:$B),_xlfn.XMATCH($B$2,'Talnagögn | Numerical Data'!$1:$1))-1</f>
        <v>1.3788314855105397</v>
      </c>
      <c r="L834" s="592" cm="1">
        <f t="array" ref="L834">INDEX('Talnagögn | Numerical Data'!$1:$1048576,_xlfn.XMATCH($A834,'Talnagögn | Numerical Data'!$B:$B),_xlfn.XMATCH($A$1,'Talnagögn | Numerical Data'!$1:$1))-INDEX('Talnagögn | Numerical Data'!$1:$1048576,_xlfn.XMATCH($A834,'Talnagögn | Numerical Data'!$B:$B),_xlfn.XMATCH($B$1,'Talnagögn | Numerical Data'!$1:$1))</f>
        <v>788.53818393733354</v>
      </c>
      <c r="M834" s="591" cm="1">
        <f t="array" ref="M834">INDEX('Talnagögn | Numerical Data'!$1:$1048576,_xlfn.XMATCH($A834,'Talnagögn | Numerical Data'!$B:$B),_xlfn.XMATCH($A$1,'Talnagögn | Numerical Data'!$1:$1))/INDEX('Talnagögn | Numerical Data'!$1:$1048576,_xlfn.XMATCH($A834,'Talnagögn | Numerical Data'!$B:$B),_xlfn.XMATCH($B$1,'Talnagögn | Numerical Data'!$1:$1))-1</f>
        <v>3.5662810451392017</v>
      </c>
      <c r="O834" s="599" t="str">
        <f>'Talnagögn | Numerical Data'!$E$248</f>
        <v>Alþjóðaflug</v>
      </c>
      <c r="P834" s="592" cm="1">
        <f t="array" ref="P834">INDEX('Talnagögn | Numerical Data'!$1:$1048576,_xlfn.XMATCH($B834,'Talnagögn | Numerical Data'!$C:$C),_xlfn.XMATCH($B$4,'Talnagögn | Numerical Data'!$1:$1))-INDEX('Talnagögn | Numerical Data'!$1:$1048576,_xlfn.XMATCH($A834,'Talnagögn | Numerical Data'!$B:$B),_xlfn.XMATCH($B$2,'Talnagögn | Numerical Data'!$1:$1))</f>
        <v>482.87166766583999</v>
      </c>
      <c r="Q834" s="590" cm="1">
        <f t="array" ref="Q834">INDEX('Talnagögn | Numerical Data'!$1:$1048576,_xlfn.XMATCH($B834,'Talnagögn | Numerical Data'!$C:$C),_xlfn.XMATCH($B$4,'Talnagögn | Numerical Data'!$1:$1))/INDEX('Talnagögn | Numerical Data'!$1:$1048576,_xlfn.XMATCH($A834,'Talnagögn | Numerical Data'!$B:$B),_xlfn.XMATCH($B$2,'Talnagögn | Numerical Data'!$1:$1))-1</f>
        <v>1.1376943497126515</v>
      </c>
      <c r="R834" s="592" cm="1">
        <f t="array" ref="R834">INDEX('Talnagögn | Numerical Data'!$1:$1048576,_xlfn.XMATCH($B834,'Talnagögn | Numerical Data'!$C:$C),_xlfn.XMATCH($B$5,'Talnagögn | Numerical Data'!$1:$1))-INDEX('Talnagögn | Numerical Data'!$1:$1048576,_xlfn.XMATCH($A834,'Talnagögn | Numerical Data'!$B:$B),_xlfn.XMATCH($B$1,'Talnagögn | Numerical Data'!$1:$1))</f>
        <v>98.479906150021293</v>
      </c>
      <c r="S834" s="591" cm="1">
        <f t="array" ref="S834">INDEX('Talnagögn | Numerical Data'!$1:$1048576,_xlfn.XMATCH($B834,'Talnagögn | Numerical Data'!$C:$C),_xlfn.XMATCH($B$5,'Talnagögn | Numerical Data'!$1:$1))/INDEX('Talnagögn | Numerical Data'!$1:$1048576,_xlfn.XMATCH($A834,'Talnagögn | Numerical Data'!$B:$B),_xlfn.XMATCH($B$1,'Talnagögn | Numerical Data'!$1:$1))-1</f>
        <v>0.44539000112367355</v>
      </c>
      <c r="U834" s="593"/>
      <c r="V834" s="410"/>
      <c r="Y834" s="589" t="str">
        <f>'Talnagögn | Numerical Data'!$G$248</f>
        <v>International Aviation</v>
      </c>
      <c r="Z834" s="609" cm="1">
        <f t="array" ref="Z834">INDEX('Talnagögn | Numerical Data'!$1:$1048576,_xlfn.XMATCH($A834,'Talnagögn | Numerical Data'!$B:$B),_xlfn.XMATCH($A$1,'Talnagögn | Numerical Data'!$1:$1))</f>
        <v>1009.6475620140002</v>
      </c>
      <c r="AA834" s="600">
        <f>Z834/$F$836</f>
        <v>0.77874670308373029</v>
      </c>
      <c r="AB834" s="926" cm="1">
        <f t="array" ref="AB834">INDEX('Talnagögn | Numerical Data'!$1:$1048576,_xlfn.XMATCH($A834,'Talnagögn | Numerical Data'!$B:$B),_xlfn.XMATCH($A$1,'Talnagögn | Numerical Data'!$1:$1))-INDEX('Talnagögn | Numerical Data'!$1:$1048576,_xlfn.XMATCH($A834,'Talnagögn | Numerical Data'!$B:$B),_xlfn.XMATCH($B$3,'Talnagögn | Numerical Data'!$1:$1))</f>
        <v>2.5909135162345365</v>
      </c>
      <c r="AC834" s="925" cm="1">
        <f t="array" ref="AC834">INDEX('Talnagögn | Numerical Data'!$1:$1048576,_xlfn.XMATCH($A834,'Talnagögn | Numerical Data'!$B:$B),_xlfn.XMATCH($A$1,'Talnagögn | Numerical Data'!$1:$1))/INDEX('Talnagögn | Numerical Data'!$1:$1048576,_xlfn.XMATCH($A834,'Talnagögn | Numerical Data'!$B:$B),_xlfn.XMATCH($B$3,'Talnagögn | Numerical Data'!$1:$1))-1</f>
        <v>2.5727584640837797E-3</v>
      </c>
      <c r="AD834" s="592" cm="1">
        <f t="array" ref="AD834">INDEX('Talnagögn | Numerical Data'!$1:$1048576,_xlfn.XMATCH($A834,'Talnagögn | Numerical Data'!$B:$B),_xlfn.XMATCH($A$1,'Talnagögn | Numerical Data'!$1:$1))-INDEX('Talnagögn | Numerical Data'!$1:$1048576,_xlfn.XMATCH($A834,'Talnagögn | Numerical Data'!$B:$B),_xlfn.XMATCH($B$2,'Talnagögn | Numerical Data'!$1:$1))</f>
        <v>585.21751383120022</v>
      </c>
      <c r="AE834" s="600" cm="1">
        <f t="array" ref="AE834">INDEX('Talnagögn | Numerical Data'!$1:$1048576,_xlfn.XMATCH($A834,'Talnagögn | Numerical Data'!$B:$B),_xlfn.XMATCH($A$1,'Talnagögn | Numerical Data'!$1:$1))/INDEX('Talnagögn | Numerical Data'!$1:$1048576,_xlfn.XMATCH($A834,'Talnagögn | Numerical Data'!$B:$B),_xlfn.XMATCH($B$2,'Talnagögn | Numerical Data'!$1:$1))-1</f>
        <v>1.3788314855105397</v>
      </c>
      <c r="AF834" s="592" cm="1">
        <f t="array" ref="AF834">INDEX('Talnagögn | Numerical Data'!$1:$1048576,_xlfn.XMATCH($A834,'Talnagögn | Numerical Data'!$B:$B),_xlfn.XMATCH($A$1,'Talnagögn | Numerical Data'!$1:$1))-INDEX('Talnagögn | Numerical Data'!$1:$1048576,_xlfn.XMATCH($A834,'Talnagögn | Numerical Data'!$B:$B),_xlfn.XMATCH($B$1,'Talnagögn | Numerical Data'!$1:$1))</f>
        <v>788.53818393733354</v>
      </c>
      <c r="AG834" s="591" cm="1">
        <f t="array" ref="AG834">INDEX('Talnagögn | Numerical Data'!$1:$1048576,_xlfn.XMATCH($A834,'Talnagögn | Numerical Data'!$B:$B),_xlfn.XMATCH($A$1,'Talnagögn | Numerical Data'!$1:$1))/INDEX('Talnagögn | Numerical Data'!$1:$1048576,_xlfn.XMATCH($A834,'Talnagögn | Numerical Data'!$B:$B),_xlfn.XMATCH($B$1,'Talnagögn | Numerical Data'!$1:$1))-1</f>
        <v>3.5662810451392017</v>
      </c>
      <c r="AH834" s="178"/>
      <c r="AI834" s="589" t="str">
        <f>'Talnagögn | Numerical Data'!$G$248</f>
        <v>International Aviation</v>
      </c>
      <c r="AJ834" s="592" cm="1">
        <f t="array" ref="AJ834">INDEX('Talnagögn | Numerical Data'!$1:$1048576,_xlfn.XMATCH($B834,'Talnagögn | Numerical Data'!$C:$C),_xlfn.XMATCH($B$4,'Talnagögn | Numerical Data'!$1:$1))-INDEX('Talnagögn | Numerical Data'!$1:$1048576,_xlfn.XMATCH($A834,'Talnagögn | Numerical Data'!$B:$B),_xlfn.XMATCH($B$2,'Talnagögn | Numerical Data'!$1:$1))</f>
        <v>482.87166766583999</v>
      </c>
      <c r="AK834" s="590" cm="1">
        <f t="array" ref="AK834">INDEX('Talnagögn | Numerical Data'!$1:$1048576,_xlfn.XMATCH($B834,'Talnagögn | Numerical Data'!$C:$C),_xlfn.XMATCH($B$4,'Talnagögn | Numerical Data'!$1:$1))/INDEX('Talnagögn | Numerical Data'!$1:$1048576,_xlfn.XMATCH($A834,'Talnagögn | Numerical Data'!$B:$B),_xlfn.XMATCH($B$2,'Talnagögn | Numerical Data'!$1:$1))-1</f>
        <v>1.1376943497126515</v>
      </c>
      <c r="AL834" s="592" cm="1">
        <f t="array" ref="AL834">INDEX('Talnagögn | Numerical Data'!$1:$1048576,_xlfn.XMATCH($B834,'Talnagögn | Numerical Data'!$C:$C),_xlfn.XMATCH($B$5,'Talnagögn | Numerical Data'!$1:$1))-INDEX('Talnagögn | Numerical Data'!$1:$1048576,_xlfn.XMATCH($A834,'Talnagögn | Numerical Data'!$B:$B),_xlfn.XMATCH($B$1,'Talnagögn | Numerical Data'!$1:$1))</f>
        <v>98.479906150021293</v>
      </c>
      <c r="AM834" s="591" cm="1">
        <f t="array" ref="AM834">INDEX('Talnagögn | Numerical Data'!$1:$1048576,_xlfn.XMATCH($B834,'Talnagögn | Numerical Data'!$C:$C),_xlfn.XMATCH($B$5,'Talnagögn | Numerical Data'!$1:$1))/INDEX('Talnagögn | Numerical Data'!$1:$1048576,_xlfn.XMATCH($A834,'Talnagögn | Numerical Data'!$B:$B),_xlfn.XMATCH($B$1,'Talnagögn | Numerical Data'!$1:$1))-1</f>
        <v>0.44539000112367355</v>
      </c>
      <c r="AO834" s="593"/>
      <c r="AR834" s="593"/>
    </row>
    <row r="835" spans="1:45" s="21" customFormat="1" x14ac:dyDescent="0.4">
      <c r="A835" s="27" t="s">
        <v>73</v>
      </c>
      <c r="B835" s="27" t="s">
        <v>296</v>
      </c>
      <c r="C835" s="27" t="s">
        <v>299</v>
      </c>
      <c r="D835" s="131" t="s">
        <v>44</v>
      </c>
      <c r="E835" s="601" t="str">
        <f>'Talnagögn | Numerical Data'!$E$249</f>
        <v>Alþjóðasiglingar</v>
      </c>
      <c r="F835" s="610" cm="1">
        <f t="array" ref="F835">INDEX('Talnagögn | Numerical Data'!$1:$1048576,_xlfn.XMATCH($A835,'Talnagögn | Numerical Data'!$B:$B),_xlfn.XMATCH($A$1,'Talnagögn | Numerical Data'!$1:$1))</f>
        <v>286.85559879032058</v>
      </c>
      <c r="G835" s="602">
        <f>F835/$F$836</f>
        <v>0.22125329691626974</v>
      </c>
      <c r="H835" s="610" cm="1">
        <f t="array" ref="H835">INDEX('Talnagögn | Numerical Data'!$1:$1048576,_xlfn.XMATCH($A835,'Talnagögn | Numerical Data'!$B:$B),_xlfn.XMATCH($A$1,'Talnagögn | Numerical Data'!$1:$1))-INDEX('Talnagögn | Numerical Data'!$1:$1048576,_xlfn.XMATCH($A835,'Talnagögn | Numerical Data'!$B:$B),_xlfn.XMATCH($B$3,'Talnagögn | Numerical Data'!$1:$1))</f>
        <v>-36.944544610489515</v>
      </c>
      <c r="I835" s="602" cm="1">
        <f t="array" ref="I835">INDEX('Talnagögn | Numerical Data'!$1:$1048576,_xlfn.XMATCH($A835,'Talnagögn | Numerical Data'!$B:$B),_xlfn.XMATCH($A$1,'Talnagögn | Numerical Data'!$1:$1))/INDEX('Talnagögn | Numerical Data'!$1:$1048576,_xlfn.XMATCH($A835,'Talnagögn | Numerical Data'!$B:$B),_xlfn.XMATCH($B$3,'Talnagögn | Numerical Data'!$1:$1))-1</f>
        <v>-0.11409675184966916</v>
      </c>
      <c r="J835" s="610" cm="1">
        <f t="array" ref="J835">INDEX('Talnagögn | Numerical Data'!$1:$1048576,_xlfn.XMATCH($A835,'Talnagögn | Numerical Data'!$B:$B),_xlfn.XMATCH($A$1,'Talnagögn | Numerical Data'!$1:$1))-INDEX('Talnagögn | Numerical Data'!$1:$1048576,_xlfn.XMATCH($A835,'Talnagögn | Numerical Data'!$B:$B),_xlfn.XMATCH($B$2,'Talnagögn | Numerical Data'!$1:$1))</f>
        <v>285.10278524190932</v>
      </c>
      <c r="K835" s="602" cm="1">
        <f t="array" ref="K835">INDEX('Talnagögn | Numerical Data'!$1:$1048576,_xlfn.XMATCH($A835,'Talnagögn | Numerical Data'!$B:$B),_xlfn.XMATCH($A$1,'Talnagögn | Numerical Data'!$1:$1))/INDEX('Talnagögn | Numerical Data'!$1:$1048576,_xlfn.XMATCH($A835,'Talnagögn | Numerical Data'!$B:$B),_xlfn.XMATCH($B$2,'Talnagögn | Numerical Data'!$1:$1))-1</f>
        <v>162.65437102555907</v>
      </c>
      <c r="L835" s="610" cm="1">
        <f t="array" ref="L835">INDEX('Talnagögn | Numerical Data'!$1:$1048576,_xlfn.XMATCH($A835,'Talnagögn | Numerical Data'!$B:$B),_xlfn.XMATCH($A$1,'Talnagögn | Numerical Data'!$1:$1))-INDEX('Talnagögn | Numerical Data'!$1:$1048576,_xlfn.XMATCH($A835,'Talnagögn | Numerical Data'!$B:$B),_xlfn.XMATCH($B$1,'Talnagögn | Numerical Data'!$1:$1))</f>
        <v>258.77667379298316</v>
      </c>
      <c r="M835" s="603" cm="1">
        <f t="array" ref="M835">INDEX('Talnagögn | Numerical Data'!$1:$1048576,_xlfn.XMATCH($A835,'Talnagögn | Numerical Data'!$B:$B),_xlfn.XMATCH($A$1,'Talnagögn | Numerical Data'!$1:$1))/INDEX('Talnagögn | Numerical Data'!$1:$1048576,_xlfn.XMATCH($A835,'Talnagögn | Numerical Data'!$B:$B),_xlfn.XMATCH($B$1,'Talnagögn | Numerical Data'!$1:$1))-1</f>
        <v>9.2160463343066663</v>
      </c>
      <c r="O835" s="601" t="str">
        <f>'Talnagögn | Numerical Data'!$E$249</f>
        <v>Alþjóðasiglingar</v>
      </c>
      <c r="P835" s="594" cm="1">
        <f t="array" ref="P835">INDEX('Talnagögn | Numerical Data'!$1:$1048576,_xlfn.XMATCH($B835,'Talnagögn | Numerical Data'!$C:$C),_xlfn.XMATCH($B$4,'Talnagögn | Numerical Data'!$1:$1))-INDEX('Talnagögn | Numerical Data'!$1:$1048576,_xlfn.XMATCH($A835,'Talnagögn | Numerical Data'!$B:$B),_xlfn.XMATCH($B$2,'Talnagögn | Numerical Data'!$1:$1))</f>
        <v>291.67217169894934</v>
      </c>
      <c r="Q835" s="588" cm="1">
        <f t="array" ref="Q835">INDEX('Talnagögn | Numerical Data'!$1:$1048576,_xlfn.XMATCH($B835,'Talnagögn | Numerical Data'!$C:$C),_xlfn.XMATCH($B$4,'Talnagögn | Numerical Data'!$1:$1))/INDEX('Talnagögn | Numerical Data'!$1:$1048576,_xlfn.XMATCH($A835,'Talnagögn | Numerical Data'!$B:$B),_xlfn.XMATCH($B$2,'Talnagögn | Numerical Data'!$1:$1))-1</f>
        <v>166.4022804726275</v>
      </c>
      <c r="R835" s="594" cm="1">
        <f t="array" ref="R835">INDEX('Talnagögn | Numerical Data'!$1:$1048576,_xlfn.XMATCH($B835,'Talnagögn | Numerical Data'!$C:$C),_xlfn.XMATCH($B$5,'Talnagögn | Numerical Data'!$1:$1))-INDEX('Talnagögn | Numerical Data'!$1:$1048576,_xlfn.XMATCH($A835,'Talnagögn | Numerical Data'!$B:$B),_xlfn.XMATCH($B$1,'Talnagögn | Numerical Data'!$1:$1))</f>
        <v>53.280001622100805</v>
      </c>
      <c r="S835" s="685" cm="1">
        <f t="array" ref="S835">INDEX('Talnagögn | Numerical Data'!$1:$1048576,_xlfn.XMATCH($B835,'Talnagögn | Numerical Data'!$C:$C),_xlfn.XMATCH($B$5,'Talnagögn | Numerical Data'!$1:$1))/INDEX('Talnagögn | Numerical Data'!$1:$1048576,_xlfn.XMATCH($A835,'Talnagögn | Numerical Data'!$B:$B),_xlfn.XMATCH($B$1,'Talnagögn | Numerical Data'!$1:$1))-1</f>
        <v>1.8975085986074292</v>
      </c>
      <c r="U835" s="607"/>
      <c r="V835" s="426"/>
      <c r="Y835" s="587" t="str">
        <f>'Talnagögn | Numerical Data'!$G$249</f>
        <v>International Navigation</v>
      </c>
      <c r="Z835" s="610" cm="1">
        <f t="array" ref="Z835">INDEX('Talnagögn | Numerical Data'!$1:$1048576,_xlfn.XMATCH($A835,'Talnagögn | Numerical Data'!$B:$B),_xlfn.XMATCH($A$1,'Talnagögn | Numerical Data'!$1:$1))</f>
        <v>286.85559879032058</v>
      </c>
      <c r="AA835" s="602">
        <f>Z835/$F$836</f>
        <v>0.22125329691626974</v>
      </c>
      <c r="AB835" s="610" cm="1">
        <f t="array" ref="AB835">INDEX('Talnagögn | Numerical Data'!$1:$1048576,_xlfn.XMATCH($A835,'Talnagögn | Numerical Data'!$B:$B),_xlfn.XMATCH($A$1,'Talnagögn | Numerical Data'!$1:$1))-INDEX('Talnagögn | Numerical Data'!$1:$1048576,_xlfn.XMATCH($A835,'Talnagögn | Numerical Data'!$B:$B),_xlfn.XMATCH($B$3,'Talnagögn | Numerical Data'!$1:$1))</f>
        <v>-36.944544610489515</v>
      </c>
      <c r="AC835" s="602" cm="1">
        <f t="array" ref="AC835">INDEX('Talnagögn | Numerical Data'!$1:$1048576,_xlfn.XMATCH($A835,'Talnagögn | Numerical Data'!$B:$B),_xlfn.XMATCH($A$1,'Talnagögn | Numerical Data'!$1:$1))/INDEX('Talnagögn | Numerical Data'!$1:$1048576,_xlfn.XMATCH($A835,'Talnagögn | Numerical Data'!$B:$B),_xlfn.XMATCH($B$3,'Talnagögn | Numerical Data'!$1:$1))-1</f>
        <v>-0.11409675184966916</v>
      </c>
      <c r="AD835" s="610" cm="1">
        <f t="array" ref="AD835">INDEX('Talnagögn | Numerical Data'!$1:$1048576,_xlfn.XMATCH($A835,'Talnagögn | Numerical Data'!$B:$B),_xlfn.XMATCH($A$1,'Talnagögn | Numerical Data'!$1:$1))-INDEX('Talnagögn | Numerical Data'!$1:$1048576,_xlfn.XMATCH($A835,'Talnagögn | Numerical Data'!$B:$B),_xlfn.XMATCH($B$2,'Talnagögn | Numerical Data'!$1:$1))</f>
        <v>285.10278524190932</v>
      </c>
      <c r="AE835" s="602" cm="1">
        <f t="array" ref="AE835">INDEX('Talnagögn | Numerical Data'!$1:$1048576,_xlfn.XMATCH($A835,'Talnagögn | Numerical Data'!$B:$B),_xlfn.XMATCH($A$1,'Talnagögn | Numerical Data'!$1:$1))/INDEX('Talnagögn | Numerical Data'!$1:$1048576,_xlfn.XMATCH($A835,'Talnagögn | Numerical Data'!$B:$B),_xlfn.XMATCH($B$2,'Talnagögn | Numerical Data'!$1:$1))-1</f>
        <v>162.65437102555907</v>
      </c>
      <c r="AF835" s="610" cm="1">
        <f t="array" ref="AF835">INDEX('Talnagögn | Numerical Data'!$1:$1048576,_xlfn.XMATCH($A835,'Talnagögn | Numerical Data'!$B:$B),_xlfn.XMATCH($A$1,'Talnagögn | Numerical Data'!$1:$1))-INDEX('Talnagögn | Numerical Data'!$1:$1048576,_xlfn.XMATCH($A835,'Talnagögn | Numerical Data'!$B:$B),_xlfn.XMATCH($B$1,'Talnagögn | Numerical Data'!$1:$1))</f>
        <v>258.77667379298316</v>
      </c>
      <c r="AG835" s="603" cm="1">
        <f t="array" ref="AG835">INDEX('Talnagögn | Numerical Data'!$1:$1048576,_xlfn.XMATCH($A835,'Talnagögn | Numerical Data'!$B:$B),_xlfn.XMATCH($A$1,'Talnagögn | Numerical Data'!$1:$1))/INDEX('Talnagögn | Numerical Data'!$1:$1048576,_xlfn.XMATCH($A835,'Talnagögn | Numerical Data'!$B:$B),_xlfn.XMATCH($B$1,'Talnagögn | Numerical Data'!$1:$1))-1</f>
        <v>9.2160463343066663</v>
      </c>
      <c r="AH835" s="178"/>
      <c r="AI835" s="587" t="str">
        <f>'Talnagögn | Numerical Data'!$G$249</f>
        <v>International Navigation</v>
      </c>
      <c r="AJ835" s="594" cm="1">
        <f t="array" ref="AJ835">INDEX('Talnagögn | Numerical Data'!$1:$1048576,_xlfn.XMATCH($B835,'Talnagögn | Numerical Data'!$C:$C),_xlfn.XMATCH($B$4,'Talnagögn | Numerical Data'!$1:$1))-INDEX('Talnagögn | Numerical Data'!$1:$1048576,_xlfn.XMATCH($A835,'Talnagögn | Numerical Data'!$B:$B),_xlfn.XMATCH($B$2,'Talnagögn | Numerical Data'!$1:$1))</f>
        <v>291.67217169894934</v>
      </c>
      <c r="AK835" s="588" cm="1">
        <f t="array" ref="AK835">INDEX('Talnagögn | Numerical Data'!$1:$1048576,_xlfn.XMATCH($B835,'Talnagögn | Numerical Data'!$C:$C),_xlfn.XMATCH($B$4,'Talnagögn | Numerical Data'!$1:$1))/INDEX('Talnagögn | Numerical Data'!$1:$1048576,_xlfn.XMATCH($A835,'Talnagögn | Numerical Data'!$B:$B),_xlfn.XMATCH($B$2,'Talnagögn | Numerical Data'!$1:$1))-1</f>
        <v>166.4022804726275</v>
      </c>
      <c r="AL835" s="594" cm="1">
        <f t="array" ref="AL835">INDEX('Talnagögn | Numerical Data'!$1:$1048576,_xlfn.XMATCH($B835,'Talnagögn | Numerical Data'!$C:$C),_xlfn.XMATCH($B$5,'Talnagögn | Numerical Data'!$1:$1))-INDEX('Talnagögn | Numerical Data'!$1:$1048576,_xlfn.XMATCH($A835,'Talnagögn | Numerical Data'!$B:$B),_xlfn.XMATCH($B$1,'Talnagögn | Numerical Data'!$1:$1))</f>
        <v>53.280001622100805</v>
      </c>
      <c r="AM835" s="685" cm="1">
        <f t="array" ref="AM835">INDEX('Talnagögn | Numerical Data'!$1:$1048576,_xlfn.XMATCH($B835,'Talnagögn | Numerical Data'!$C:$C),_xlfn.XMATCH($B$5,'Talnagögn | Numerical Data'!$1:$1))/INDEX('Talnagögn | Numerical Data'!$1:$1048576,_xlfn.XMATCH($A835,'Talnagögn | Numerical Data'!$B:$B),_xlfn.XMATCH($B$1,'Talnagögn | Numerical Data'!$1:$1))-1</f>
        <v>1.8975085986074292</v>
      </c>
      <c r="AO835" s="607"/>
      <c r="AR835" s="607"/>
    </row>
    <row r="836" spans="1:45" ht="28.5" customHeight="1" x14ac:dyDescent="0.4">
      <c r="A836" s="27" t="s">
        <v>186</v>
      </c>
      <c r="B836" s="27" t="s">
        <v>297</v>
      </c>
      <c r="C836" s="27" t="s">
        <v>300</v>
      </c>
      <c r="D836" s="131" t="s">
        <v>44</v>
      </c>
      <c r="E836" s="604" t="s">
        <v>12</v>
      </c>
      <c r="F836" s="611" cm="1">
        <f t="array" ref="F836">INDEX('Talnagögn | Numerical Data'!$1:$1048576,_xlfn.XMATCH($A836,'Talnagögn | Numerical Data'!$B:$B),_xlfn.XMATCH($A$1,'Talnagögn | Numerical Data'!$1:$1))</f>
        <v>1296.5031608043207</v>
      </c>
      <c r="G836" s="605">
        <f>SUM(G834:G835)</f>
        <v>1</v>
      </c>
      <c r="H836" s="611" cm="1">
        <f t="array" ref="H836">INDEX('Talnagögn | Numerical Data'!$1:$1048576,_xlfn.XMATCH($A836,'Talnagögn | Numerical Data'!$B:$B),_xlfn.XMATCH($A$1,'Talnagögn | Numerical Data'!$1:$1))-INDEX('Talnagögn | Numerical Data'!$1:$1048576,_xlfn.XMATCH($A836,'Talnagögn | Numerical Data'!$B:$B),_xlfn.XMATCH($B$3,'Talnagögn | Numerical Data'!$1:$1))</f>
        <v>-34.353631094254979</v>
      </c>
      <c r="I836" s="661" cm="1">
        <f t="array" ref="I836">INDEX('Talnagögn | Numerical Data'!$1:$1048576,_xlfn.XMATCH($A836,'Talnagögn | Numerical Data'!$B:$B),_xlfn.XMATCH($A$1,'Talnagögn | Numerical Data'!$1:$1))/INDEX('Talnagögn | Numerical Data'!$1:$1048576,_xlfn.XMATCH($A836,'Talnagögn | Numerical Data'!$B:$B),_xlfn.XMATCH($B$3,'Talnagögn | Numerical Data'!$1:$1))-1</f>
        <v>-2.5813168857369506E-2</v>
      </c>
      <c r="J836" s="611" cm="1">
        <f t="array" ref="J836">INDEX('Talnagögn | Numerical Data'!$1:$1048576,_xlfn.XMATCH($A836,'Talnagögn | Numerical Data'!$B:$B),_xlfn.XMATCH($A$1,'Talnagögn | Numerical Data'!$1:$1))-INDEX('Talnagögn | Numerical Data'!$1:$1048576,_xlfn.XMATCH($A836,'Talnagögn | Numerical Data'!$B:$B),_xlfn.XMATCH($B$2,'Talnagögn | Numerical Data'!$1:$1))</f>
        <v>870.32029907310948</v>
      </c>
      <c r="K836" s="605" cm="1">
        <f t="array" ref="K836">INDEX('Talnagögn | Numerical Data'!$1:$1048576,_xlfn.XMATCH($A836,'Talnagögn | Numerical Data'!$B:$B),_xlfn.XMATCH($A$1,'Talnagögn | Numerical Data'!$1:$1))/INDEX('Talnagögn | Numerical Data'!$1:$1048576,_xlfn.XMATCH($A836,'Talnagögn | Numerical Data'!$B:$B),_xlfn.XMATCH($B$2,'Talnagögn | Numerical Data'!$1:$1))-1</f>
        <v>2.0421288071926518</v>
      </c>
      <c r="L836" s="611" cm="1">
        <f t="array" ref="L836">INDEX('Talnagögn | Numerical Data'!$1:$1048576,_xlfn.XMATCH($A836,'Talnagögn | Numerical Data'!$B:$B),_xlfn.XMATCH($A$1,'Talnagögn | Numerical Data'!$1:$1))-INDEX('Talnagögn | Numerical Data'!$1:$1048576,_xlfn.XMATCH($A836,'Talnagögn | Numerical Data'!$B:$B),_xlfn.XMATCH($B$1,'Talnagögn | Numerical Data'!$1:$1))</f>
        <v>1047.3148577303166</v>
      </c>
      <c r="M836" s="606" cm="1">
        <f t="array" ref="M836">INDEX('Talnagögn | Numerical Data'!$1:$1048576,_xlfn.XMATCH($A836,'Talnagögn | Numerical Data'!$B:$B),_xlfn.XMATCH($A$1,'Talnagögn | Numerical Data'!$1:$1))/INDEX('Talnagögn | Numerical Data'!$1:$1048576,_xlfn.XMATCH($A836,'Talnagögn | Numerical Data'!$B:$B),_xlfn.XMATCH($B$1,'Talnagögn | Numerical Data'!$1:$1))-1</f>
        <v>4.2029053724053993</v>
      </c>
      <c r="N836" s="5"/>
      <c r="O836" s="604" t="s">
        <v>12</v>
      </c>
      <c r="P836" s="595" cm="1">
        <f t="array" ref="P836">INDEX('Talnagögn | Numerical Data'!$1:$1048576,_xlfn.XMATCH($B836,'Talnagögn | Numerical Data'!$C:$C),_xlfn.XMATCH($B$4,'Talnagögn | Numerical Data'!$1:$1))-INDEX('Talnagögn | Numerical Data'!$1:$1048576,_xlfn.XMATCH($A836,'Talnagögn | Numerical Data'!$B:$B),_xlfn.XMATCH($B$2,'Talnagögn | Numerical Data'!$1:$1))</f>
        <v>774.54383936478962</v>
      </c>
      <c r="Q836" s="585" cm="1">
        <f t="array" ref="Q836">INDEX('Talnagögn | Numerical Data'!$1:$1048576,_xlfn.XMATCH($B836,'Talnagögn | Numerical Data'!$C:$C),_xlfn.XMATCH($B$4,'Talnagögn | Numerical Data'!$1:$1))/INDEX('Talnagögn | Numerical Data'!$1:$1048576,_xlfn.XMATCH($A836,'Talnagögn | Numerical Data'!$B:$B),_xlfn.XMATCH($B$2,'Talnagögn | Numerical Data'!$1:$1))-1</f>
        <v>1.8173979033753018</v>
      </c>
      <c r="R836" s="595" cm="1">
        <f t="array" ref="R836">INDEX('Talnagögn | Numerical Data'!$1:$1048576,_xlfn.XMATCH($B836,'Talnagögn | Numerical Data'!$C:$C),_xlfn.XMATCH($B$5,'Talnagögn | Numerical Data'!$1:$1))-INDEX('Talnagögn | Numerical Data'!$1:$1048576,_xlfn.XMATCH($A836,'Talnagögn | Numerical Data'!$B:$B),_xlfn.XMATCH($B$1,'Talnagögn | Numerical Data'!$1:$1))</f>
        <v>151.75990777212212</v>
      </c>
      <c r="S836" s="586" cm="1">
        <f t="array" ref="S836">INDEX('Talnagögn | Numerical Data'!$1:$1048576,_xlfn.XMATCH($B836,'Talnagögn | Numerical Data'!$C:$C),_xlfn.XMATCH($B$5,'Talnagögn | Numerical Data'!$1:$1))/INDEX('Talnagögn | Numerical Data'!$1:$1048576,_xlfn.XMATCH($A836,'Talnagögn | Numerical Data'!$B:$B),_xlfn.XMATCH($B$1,'Talnagögn | Numerical Data'!$1:$1))-1</f>
        <v>0.6090169799304439</v>
      </c>
      <c r="T836" s="5"/>
      <c r="U836" s="608"/>
      <c r="V836" s="162"/>
      <c r="Y836" s="584" t="s">
        <v>145</v>
      </c>
      <c r="Z836" s="611" cm="1">
        <f t="array" ref="Z836">INDEX('Talnagögn | Numerical Data'!$1:$1048576,_xlfn.XMATCH($A836,'Talnagögn | Numerical Data'!$B:$B),_xlfn.XMATCH($A$1,'Talnagögn | Numerical Data'!$1:$1))</f>
        <v>1296.5031608043207</v>
      </c>
      <c r="AA836" s="605">
        <f>SUM(AA834:AA835)</f>
        <v>1</v>
      </c>
      <c r="AB836" s="611" cm="1">
        <f t="array" ref="AB836">INDEX('Talnagögn | Numerical Data'!$1:$1048576,_xlfn.XMATCH($A836,'Talnagögn | Numerical Data'!$B:$B),_xlfn.XMATCH($A$1,'Talnagögn | Numerical Data'!$1:$1))-INDEX('Talnagögn | Numerical Data'!$1:$1048576,_xlfn.XMATCH($A836,'Talnagögn | Numerical Data'!$B:$B),_xlfn.XMATCH($B$3,'Talnagögn | Numerical Data'!$1:$1))</f>
        <v>-34.353631094254979</v>
      </c>
      <c r="AC836" s="661" cm="1">
        <f t="array" ref="AC836">INDEX('Talnagögn | Numerical Data'!$1:$1048576,_xlfn.XMATCH($A836,'Talnagögn | Numerical Data'!$B:$B),_xlfn.XMATCH($A$1,'Talnagögn | Numerical Data'!$1:$1))/INDEX('Talnagögn | Numerical Data'!$1:$1048576,_xlfn.XMATCH($A836,'Talnagögn | Numerical Data'!$B:$B),_xlfn.XMATCH($B$3,'Talnagögn | Numerical Data'!$1:$1))-1</f>
        <v>-2.5813168857369506E-2</v>
      </c>
      <c r="AD836" s="611" cm="1">
        <f t="array" ref="AD836">INDEX('Talnagögn | Numerical Data'!$1:$1048576,_xlfn.XMATCH($A836,'Talnagögn | Numerical Data'!$B:$B),_xlfn.XMATCH($A$1,'Talnagögn | Numerical Data'!$1:$1))-INDEX('Talnagögn | Numerical Data'!$1:$1048576,_xlfn.XMATCH($A836,'Talnagögn | Numerical Data'!$B:$B),_xlfn.XMATCH($B$2,'Talnagögn | Numerical Data'!$1:$1))</f>
        <v>870.32029907310948</v>
      </c>
      <c r="AE836" s="605" cm="1">
        <f t="array" ref="AE836">INDEX('Talnagögn | Numerical Data'!$1:$1048576,_xlfn.XMATCH($A836,'Talnagögn | Numerical Data'!$B:$B),_xlfn.XMATCH($A$1,'Talnagögn | Numerical Data'!$1:$1))/INDEX('Talnagögn | Numerical Data'!$1:$1048576,_xlfn.XMATCH($A836,'Talnagögn | Numerical Data'!$B:$B),_xlfn.XMATCH($B$2,'Talnagögn | Numerical Data'!$1:$1))-1</f>
        <v>2.0421288071926518</v>
      </c>
      <c r="AF836" s="611" cm="1">
        <f t="array" ref="AF836">INDEX('Talnagögn | Numerical Data'!$1:$1048576,_xlfn.XMATCH($A836,'Talnagögn | Numerical Data'!$B:$B),_xlfn.XMATCH($A$1,'Talnagögn | Numerical Data'!$1:$1))-INDEX('Talnagögn | Numerical Data'!$1:$1048576,_xlfn.XMATCH($A836,'Talnagögn | Numerical Data'!$B:$B),_xlfn.XMATCH($B$1,'Talnagögn | Numerical Data'!$1:$1))</f>
        <v>1047.3148577303166</v>
      </c>
      <c r="AG836" s="606" cm="1">
        <f t="array" ref="AG836">INDEX('Talnagögn | Numerical Data'!$1:$1048576,_xlfn.XMATCH($A836,'Talnagögn | Numerical Data'!$B:$B),_xlfn.XMATCH($A$1,'Talnagögn | Numerical Data'!$1:$1))/INDEX('Talnagögn | Numerical Data'!$1:$1048576,_xlfn.XMATCH($A836,'Talnagögn | Numerical Data'!$B:$B),_xlfn.XMATCH($B$1,'Talnagögn | Numerical Data'!$1:$1))-1</f>
        <v>4.2029053724053993</v>
      </c>
      <c r="AH836" s="178"/>
      <c r="AI836" s="584" t="s">
        <v>145</v>
      </c>
      <c r="AJ836" s="595" cm="1">
        <f t="array" ref="AJ836">INDEX('Talnagögn | Numerical Data'!$1:$1048576,_xlfn.XMATCH($B836,'Talnagögn | Numerical Data'!$C:$C),_xlfn.XMATCH($B$4,'Talnagögn | Numerical Data'!$1:$1))-INDEX('Talnagögn | Numerical Data'!$1:$1048576,_xlfn.XMATCH($A836,'Talnagögn | Numerical Data'!$B:$B),_xlfn.XMATCH($B$2,'Talnagögn | Numerical Data'!$1:$1))</f>
        <v>774.54383936478962</v>
      </c>
      <c r="AK836" s="585" cm="1">
        <f t="array" ref="AK836">INDEX('Talnagögn | Numerical Data'!$1:$1048576,_xlfn.XMATCH($B836,'Talnagögn | Numerical Data'!$C:$C),_xlfn.XMATCH($B$4,'Talnagögn | Numerical Data'!$1:$1))/INDEX('Talnagögn | Numerical Data'!$1:$1048576,_xlfn.XMATCH($A836,'Talnagögn | Numerical Data'!$B:$B),_xlfn.XMATCH($B$2,'Talnagögn | Numerical Data'!$1:$1))-1</f>
        <v>1.8173979033753018</v>
      </c>
      <c r="AL836" s="595" cm="1">
        <f t="array" ref="AL836">INDEX('Talnagögn | Numerical Data'!$1:$1048576,_xlfn.XMATCH($B836,'Talnagögn | Numerical Data'!$C:$C),_xlfn.XMATCH($B$5,'Talnagögn | Numerical Data'!$1:$1))-INDEX('Talnagögn | Numerical Data'!$1:$1048576,_xlfn.XMATCH($A836,'Talnagögn | Numerical Data'!$B:$B),_xlfn.XMATCH($B$1,'Talnagögn | Numerical Data'!$1:$1))</f>
        <v>151.75990777212212</v>
      </c>
      <c r="AM836" s="586" cm="1">
        <f t="array" ref="AM836">INDEX('Talnagögn | Numerical Data'!$1:$1048576,_xlfn.XMATCH($B836,'Talnagögn | Numerical Data'!$C:$C),_xlfn.XMATCH($B$5,'Talnagögn | Numerical Data'!$1:$1))/INDEX('Talnagögn | Numerical Data'!$1:$1048576,_xlfn.XMATCH($A836,'Talnagögn | Numerical Data'!$B:$B),_xlfn.XMATCH($B$1,'Talnagögn | Numerical Data'!$1:$1))-1</f>
        <v>0.6090169799304439</v>
      </c>
      <c r="AN836" s="5"/>
      <c r="AO836" s="608"/>
      <c r="AP836" s="5"/>
      <c r="AQ836" s="5"/>
      <c r="AR836" s="608"/>
      <c r="AS836" s="5"/>
    </row>
    <row r="837" spans="1:45" s="21" customFormat="1" x14ac:dyDescent="0.4">
      <c r="A837" s="632" t="str">
        <f>"ALÞJÓÐA-SAMGÖNGUR "&amp;$A$1</f>
        <v>ALÞJÓÐA-SAMGÖNGUR 2025</v>
      </c>
      <c r="B837" s="632" t="str">
        <f>"INTERNATIONAL TRANSPORTATION "&amp;$A$1</f>
        <v>INTERNATIONAL TRANSPORTATION 2025</v>
      </c>
      <c r="C837" s="645" t="s">
        <v>44</v>
      </c>
      <c r="D837" s="131" t="s">
        <v>44</v>
      </c>
      <c r="F837" s="178"/>
      <c r="G837" s="178"/>
      <c r="H837" s="127"/>
      <c r="I837" s="178"/>
      <c r="J837" s="178"/>
      <c r="K837" s="178"/>
      <c r="L837" s="178"/>
      <c r="M837" s="178"/>
      <c r="N837" s="178"/>
      <c r="O837" s="178"/>
      <c r="P837" s="178"/>
      <c r="Q837" s="178"/>
      <c r="R837" s="178"/>
      <c r="S837" s="178"/>
      <c r="T837" s="178"/>
      <c r="U837" s="178"/>
      <c r="V837" s="410"/>
      <c r="Z837" s="178"/>
      <c r="AA837" s="178"/>
      <c r="AB837" s="178"/>
      <c r="AC837" s="178"/>
      <c r="AD837" s="178"/>
      <c r="AE837" s="178"/>
      <c r="AF837" s="178"/>
      <c r="AG837" s="178"/>
      <c r="AH837" s="178"/>
      <c r="AI837" s="178"/>
      <c r="AJ837" s="178"/>
      <c r="AK837" s="178"/>
      <c r="AL837" s="178"/>
      <c r="AM837" s="178"/>
      <c r="AN837" s="178"/>
      <c r="AO837" s="178"/>
      <c r="AP837" s="178"/>
      <c r="AQ837" s="178"/>
      <c r="AR837" s="178"/>
      <c r="AS837" s="178"/>
    </row>
    <row r="838" spans="1:45" s="21" customFormat="1" x14ac:dyDescent="0.4">
      <c r="A838" s="27"/>
      <c r="B838" s="645" t="s">
        <v>44</v>
      </c>
      <c r="C838" s="645"/>
      <c r="D838" s="131" t="s">
        <v>44</v>
      </c>
      <c r="F838" s="178"/>
      <c r="G838" s="178"/>
      <c r="H838" s="127"/>
      <c r="I838" s="178"/>
      <c r="J838" s="178"/>
      <c r="K838" s="178"/>
      <c r="L838" s="178"/>
      <c r="M838" s="178"/>
      <c r="N838" s="178"/>
      <c r="O838" s="178"/>
      <c r="P838" s="178"/>
      <c r="Q838" s="178"/>
      <c r="R838" s="178"/>
      <c r="S838" s="178"/>
      <c r="T838" s="178"/>
      <c r="U838" s="178"/>
      <c r="V838" s="410"/>
      <c r="Z838" s="178"/>
      <c r="AA838" s="178"/>
      <c r="AB838" s="178"/>
      <c r="AC838" s="178"/>
      <c r="AD838" s="178"/>
      <c r="AE838" s="178"/>
      <c r="AF838" s="178"/>
      <c r="AG838" s="178"/>
      <c r="AH838" s="178"/>
      <c r="AI838" s="178"/>
      <c r="AJ838" s="178"/>
      <c r="AK838" s="178"/>
      <c r="AL838" s="178"/>
      <c r="AM838" s="178"/>
      <c r="AN838" s="178"/>
      <c r="AO838" s="178"/>
      <c r="AP838" s="178"/>
      <c r="AQ838" s="178"/>
      <c r="AR838" s="178"/>
      <c r="AS838" s="178"/>
    </row>
    <row r="839" spans="1:45" s="21" customFormat="1" x14ac:dyDescent="0.4">
      <c r="A839" s="27"/>
      <c r="B839" s="645"/>
      <c r="C839" s="645"/>
      <c r="D839" s="131" t="s">
        <v>44</v>
      </c>
      <c r="F839" s="178"/>
      <c r="G839" s="178"/>
      <c r="H839" s="127"/>
      <c r="I839" s="178"/>
      <c r="J839" s="178"/>
      <c r="K839" s="178"/>
      <c r="L839" s="178"/>
      <c r="M839" s="178"/>
      <c r="N839" s="178"/>
      <c r="O839" s="178"/>
      <c r="P839" s="178"/>
      <c r="Q839" s="178"/>
      <c r="R839" s="178"/>
      <c r="S839" s="178"/>
      <c r="T839" s="178"/>
      <c r="U839" s="178"/>
      <c r="V839" s="410"/>
      <c r="Z839" s="178"/>
      <c r="AA839" s="178"/>
      <c r="AB839" s="178"/>
      <c r="AC839" s="178"/>
      <c r="AD839" s="178"/>
      <c r="AE839" s="178"/>
      <c r="AF839" s="178"/>
      <c r="AG839" s="178"/>
      <c r="AH839" s="178"/>
      <c r="AI839" s="178"/>
      <c r="AJ839" s="178"/>
      <c r="AK839" s="178"/>
      <c r="AL839" s="178"/>
      <c r="AM839" s="178"/>
      <c r="AN839" s="178"/>
      <c r="AO839" s="178"/>
      <c r="AP839" s="178"/>
      <c r="AQ839" s="178"/>
      <c r="AR839" s="178"/>
      <c r="AS839" s="178"/>
    </row>
    <row r="840" spans="1:45" s="21" customFormat="1" x14ac:dyDescent="0.4">
      <c r="A840" s="27"/>
      <c r="B840" s="645"/>
      <c r="C840" s="645"/>
      <c r="D840" s="131" t="s">
        <v>44</v>
      </c>
      <c r="F840" s="178"/>
      <c r="G840" s="178"/>
      <c r="H840" s="127"/>
      <c r="I840" s="178"/>
      <c r="J840" s="178"/>
      <c r="K840" s="178"/>
      <c r="L840" s="178"/>
      <c r="M840" s="178"/>
      <c r="N840" s="178"/>
      <c r="O840" s="178"/>
      <c r="P840" s="178"/>
      <c r="Q840" s="178"/>
      <c r="R840" s="178"/>
      <c r="S840" s="178"/>
      <c r="T840" s="178"/>
      <c r="U840" s="178"/>
      <c r="V840" s="410"/>
      <c r="Z840" s="178"/>
      <c r="AA840" s="178"/>
      <c r="AB840" s="178"/>
      <c r="AC840" s="178"/>
      <c r="AD840" s="178"/>
      <c r="AE840" s="178"/>
      <c r="AF840" s="178"/>
      <c r="AG840" s="178"/>
      <c r="AH840" s="178"/>
      <c r="AI840" s="178"/>
      <c r="AJ840" s="178"/>
      <c r="AK840" s="178"/>
      <c r="AL840" s="178"/>
      <c r="AM840" s="178"/>
      <c r="AN840" s="178"/>
      <c r="AO840" s="178"/>
      <c r="AP840" s="178"/>
      <c r="AQ840" s="178"/>
      <c r="AR840" s="178"/>
      <c r="AS840" s="178"/>
    </row>
    <row r="841" spans="1:45" s="21" customFormat="1" x14ac:dyDescent="0.4">
      <c r="A841" s="27"/>
      <c r="B841" s="645"/>
      <c r="C841" s="645"/>
      <c r="D841" s="131" t="s">
        <v>44</v>
      </c>
      <c r="F841" s="178"/>
      <c r="G841" s="178"/>
      <c r="H841" s="127"/>
      <c r="I841" s="178"/>
      <c r="J841" s="178"/>
      <c r="K841" s="178"/>
      <c r="L841" s="178"/>
      <c r="M841" s="178"/>
      <c r="N841" s="178"/>
      <c r="O841" s="178"/>
      <c r="P841" s="178"/>
      <c r="Q841" s="178"/>
      <c r="R841" s="178"/>
      <c r="S841" s="178"/>
      <c r="T841" s="178"/>
      <c r="U841" s="178"/>
      <c r="V841" s="410"/>
      <c r="Z841" s="178"/>
      <c r="AA841" s="178"/>
      <c r="AB841" s="178"/>
      <c r="AC841" s="178"/>
      <c r="AD841" s="178"/>
      <c r="AE841" s="178"/>
      <c r="AF841" s="178"/>
      <c r="AG841" s="178"/>
      <c r="AH841" s="178"/>
      <c r="AI841" s="178"/>
      <c r="AJ841" s="178"/>
      <c r="AK841" s="178"/>
      <c r="AL841" s="178"/>
      <c r="AM841" s="178"/>
      <c r="AN841" s="178"/>
      <c r="AO841" s="178"/>
      <c r="AP841" s="178"/>
      <c r="AQ841" s="178"/>
      <c r="AR841" s="178"/>
      <c r="AS841" s="178"/>
    </row>
    <row r="842" spans="1:45" s="21" customFormat="1" x14ac:dyDescent="0.4">
      <c r="A842" s="27"/>
      <c r="B842" s="645"/>
      <c r="C842" s="645"/>
      <c r="D842" s="131" t="s">
        <v>44</v>
      </c>
      <c r="F842" s="178"/>
      <c r="G842" s="178"/>
      <c r="H842" s="127"/>
      <c r="I842" s="178"/>
      <c r="J842" s="178"/>
      <c r="K842" s="178"/>
      <c r="L842" s="178"/>
      <c r="M842" s="178"/>
      <c r="N842" s="178"/>
      <c r="O842" s="178"/>
      <c r="P842" s="178"/>
      <c r="Q842" s="178"/>
      <c r="R842" s="178"/>
      <c r="S842" s="178"/>
      <c r="T842" s="178"/>
      <c r="U842" s="178"/>
      <c r="V842" s="410"/>
      <c r="Z842" s="178"/>
      <c r="AA842" s="178"/>
      <c r="AB842" s="178"/>
      <c r="AC842" s="178"/>
      <c r="AD842" s="178"/>
      <c r="AE842" s="178"/>
      <c r="AF842" s="178"/>
      <c r="AG842" s="178"/>
      <c r="AH842" s="178"/>
      <c r="AI842" s="178"/>
      <c r="AJ842" s="178"/>
      <c r="AK842" s="178"/>
      <c r="AL842" s="178"/>
      <c r="AM842" s="178"/>
      <c r="AN842" s="178"/>
      <c r="AO842" s="178"/>
      <c r="AP842" s="178"/>
      <c r="AQ842" s="178"/>
      <c r="AR842" s="178"/>
      <c r="AS842" s="178"/>
    </row>
    <row r="843" spans="1:45" s="21" customFormat="1" x14ac:dyDescent="0.4">
      <c r="A843" s="27"/>
      <c r="B843" s="645"/>
      <c r="C843" s="645"/>
      <c r="D843" s="131" t="s">
        <v>44</v>
      </c>
      <c r="F843" s="178"/>
      <c r="G843" s="178"/>
      <c r="H843" s="127"/>
      <c r="I843" s="178"/>
      <c r="J843" s="178"/>
      <c r="K843" s="178"/>
      <c r="L843" s="178"/>
      <c r="M843" s="178"/>
      <c r="N843" s="178"/>
      <c r="O843" s="178"/>
      <c r="P843" s="178"/>
      <c r="Q843" s="178"/>
      <c r="R843" s="178"/>
      <c r="S843" s="178"/>
      <c r="T843" s="178"/>
      <c r="U843" s="178"/>
      <c r="V843" s="410"/>
      <c r="Z843" s="178"/>
      <c r="AA843" s="178"/>
      <c r="AB843" s="178"/>
      <c r="AC843" s="178"/>
      <c r="AD843" s="178"/>
      <c r="AE843" s="178"/>
      <c r="AF843" s="178"/>
      <c r="AG843" s="178"/>
      <c r="AH843" s="178"/>
      <c r="AI843" s="178"/>
      <c r="AJ843" s="178"/>
      <c r="AK843" s="178"/>
      <c r="AL843" s="178"/>
      <c r="AM843" s="178"/>
      <c r="AN843" s="178"/>
      <c r="AO843" s="178"/>
      <c r="AP843" s="178"/>
      <c r="AQ843" s="178"/>
      <c r="AR843" s="178"/>
      <c r="AS843" s="178"/>
    </row>
    <row r="844" spans="1:45" s="21" customFormat="1" x14ac:dyDescent="0.4">
      <c r="A844" s="27"/>
      <c r="B844" s="645"/>
      <c r="C844" s="645"/>
      <c r="D844" s="131" t="s">
        <v>44</v>
      </c>
      <c r="F844" s="178"/>
      <c r="G844" s="178"/>
      <c r="H844" s="127"/>
      <c r="I844" s="178"/>
      <c r="J844" s="178"/>
      <c r="K844" s="178"/>
      <c r="L844" s="178"/>
      <c r="M844" s="178"/>
      <c r="N844" s="178"/>
      <c r="O844" s="178"/>
      <c r="P844" s="178"/>
      <c r="Q844" s="178"/>
      <c r="R844" s="178"/>
      <c r="S844" s="178"/>
      <c r="T844" s="178"/>
      <c r="U844" s="178"/>
      <c r="V844" s="410"/>
      <c r="Z844" s="178"/>
      <c r="AA844" s="178"/>
      <c r="AB844" s="178"/>
      <c r="AC844" s="178"/>
      <c r="AD844" s="178"/>
      <c r="AE844" s="178"/>
      <c r="AF844" s="178"/>
      <c r="AG844" s="178"/>
      <c r="AH844" s="178"/>
      <c r="AI844" s="178"/>
      <c r="AJ844" s="178"/>
      <c r="AK844" s="178"/>
      <c r="AL844" s="178"/>
      <c r="AM844" s="178"/>
      <c r="AN844" s="178"/>
      <c r="AO844" s="178"/>
      <c r="AP844" s="178"/>
      <c r="AQ844" s="178"/>
      <c r="AR844" s="178"/>
      <c r="AS844" s="178"/>
    </row>
    <row r="845" spans="1:45" s="21" customFormat="1" x14ac:dyDescent="0.4">
      <c r="A845" s="27"/>
      <c r="B845" s="645"/>
      <c r="C845" s="645"/>
      <c r="D845" s="131" t="s">
        <v>44</v>
      </c>
      <c r="F845" s="178"/>
      <c r="G845" s="178"/>
      <c r="H845" s="127"/>
      <c r="I845" s="178"/>
      <c r="J845" s="178"/>
      <c r="K845" s="178"/>
      <c r="L845" s="178"/>
      <c r="M845" s="178"/>
      <c r="N845" s="178"/>
      <c r="O845" s="178"/>
      <c r="P845" s="178"/>
      <c r="Q845" s="178"/>
      <c r="R845" s="178"/>
      <c r="S845" s="178"/>
      <c r="T845" s="178"/>
      <c r="U845" s="178"/>
      <c r="V845" s="410"/>
      <c r="Z845" s="178"/>
      <c r="AA845" s="178"/>
      <c r="AB845" s="178"/>
      <c r="AC845" s="178"/>
      <c r="AD845" s="178"/>
      <c r="AE845" s="178"/>
      <c r="AF845" s="178"/>
      <c r="AG845" s="178"/>
      <c r="AH845" s="178"/>
      <c r="AI845" s="178"/>
      <c r="AJ845" s="178"/>
      <c r="AK845" s="178"/>
      <c r="AL845" s="178"/>
      <c r="AM845" s="178"/>
      <c r="AN845" s="178"/>
      <c r="AO845" s="178"/>
      <c r="AP845" s="178"/>
      <c r="AQ845" s="178"/>
      <c r="AR845" s="178"/>
      <c r="AS845" s="178"/>
    </row>
    <row r="846" spans="1:45" s="21" customFormat="1" x14ac:dyDescent="0.4">
      <c r="A846" s="27"/>
      <c r="B846" s="645"/>
      <c r="C846" s="645"/>
      <c r="D846" s="131" t="s">
        <v>44</v>
      </c>
      <c r="F846" s="178"/>
      <c r="G846" s="178"/>
      <c r="H846" s="127"/>
      <c r="I846" s="178"/>
      <c r="J846" s="178"/>
      <c r="K846" s="178"/>
      <c r="L846" s="178"/>
      <c r="M846" s="178"/>
      <c r="N846" s="178"/>
      <c r="O846" s="178"/>
      <c r="P846" s="178"/>
      <c r="Q846" s="178"/>
      <c r="R846" s="178"/>
      <c r="S846" s="178"/>
      <c r="T846" s="178"/>
      <c r="U846" s="178"/>
      <c r="V846" s="410"/>
      <c r="Z846" s="178"/>
      <c r="AA846" s="178"/>
      <c r="AB846" s="178"/>
      <c r="AC846" s="178"/>
      <c r="AD846" s="178"/>
      <c r="AE846" s="178"/>
      <c r="AF846" s="178"/>
      <c r="AG846" s="178"/>
      <c r="AH846" s="178"/>
      <c r="AI846" s="178"/>
      <c r="AJ846" s="178"/>
      <c r="AK846" s="178"/>
      <c r="AL846" s="178"/>
      <c r="AM846" s="178"/>
      <c r="AN846" s="178"/>
      <c r="AO846" s="178"/>
      <c r="AP846" s="178"/>
      <c r="AQ846" s="178"/>
      <c r="AR846" s="178"/>
      <c r="AS846" s="178"/>
    </row>
    <row r="847" spans="1:45" s="21" customFormat="1" x14ac:dyDescent="0.4">
      <c r="A847" s="27"/>
      <c r="B847" s="645"/>
      <c r="C847" s="645"/>
      <c r="D847" s="131" t="s">
        <v>44</v>
      </c>
      <c r="F847" s="178"/>
      <c r="G847" s="178"/>
      <c r="H847" s="127"/>
      <c r="I847" s="178"/>
      <c r="J847" s="178"/>
      <c r="K847" s="178"/>
      <c r="L847" s="178"/>
      <c r="M847" s="178"/>
      <c r="N847" s="178"/>
      <c r="O847" s="178"/>
      <c r="P847" s="178"/>
      <c r="Q847" s="178"/>
      <c r="R847" s="178"/>
      <c r="S847" s="178"/>
      <c r="T847" s="178"/>
      <c r="U847" s="178"/>
      <c r="V847" s="410"/>
      <c r="Z847" s="178"/>
      <c r="AA847" s="178"/>
      <c r="AB847" s="178"/>
      <c r="AC847" s="178"/>
      <c r="AD847" s="178"/>
      <c r="AE847" s="178"/>
      <c r="AF847" s="178"/>
      <c r="AG847" s="178"/>
      <c r="AH847" s="178"/>
      <c r="AI847" s="178"/>
      <c r="AJ847" s="178"/>
      <c r="AK847" s="178"/>
      <c r="AL847" s="178"/>
      <c r="AM847" s="178"/>
      <c r="AN847" s="178"/>
      <c r="AO847" s="178"/>
      <c r="AP847" s="178"/>
      <c r="AQ847" s="178"/>
      <c r="AR847" s="178"/>
      <c r="AS847" s="178"/>
    </row>
    <row r="848" spans="1:45" s="21" customFormat="1" x14ac:dyDescent="0.4">
      <c r="A848" s="27"/>
      <c r="B848" s="645"/>
      <c r="C848" s="645"/>
      <c r="D848" s="131" t="s">
        <v>44</v>
      </c>
      <c r="F848" s="178"/>
      <c r="G848" s="178"/>
      <c r="H848" s="127"/>
      <c r="I848" s="178"/>
      <c r="J848" s="178"/>
      <c r="K848" s="178"/>
      <c r="L848" s="178"/>
      <c r="M848" s="178"/>
      <c r="N848" s="178"/>
      <c r="O848" s="178"/>
      <c r="P848" s="178"/>
      <c r="Q848" s="178"/>
      <c r="R848" s="178"/>
      <c r="S848" s="178"/>
      <c r="T848" s="178"/>
      <c r="U848" s="178"/>
      <c r="V848" s="410"/>
      <c r="Z848" s="178"/>
      <c r="AA848" s="178"/>
      <c r="AB848" s="178"/>
      <c r="AC848" s="178"/>
      <c r="AD848" s="178"/>
      <c r="AE848" s="178"/>
      <c r="AF848" s="178"/>
      <c r="AG848" s="178"/>
      <c r="AH848" s="178"/>
      <c r="AI848" s="178"/>
      <c r="AJ848" s="178"/>
      <c r="AK848" s="178"/>
      <c r="AL848" s="178"/>
      <c r="AM848" s="178"/>
      <c r="AN848" s="178"/>
      <c r="AO848" s="178"/>
      <c r="AP848" s="178"/>
      <c r="AQ848" s="178"/>
      <c r="AR848" s="178"/>
      <c r="AS848" s="178"/>
    </row>
    <row r="849" spans="1:45" s="21" customFormat="1" x14ac:dyDescent="0.4">
      <c r="A849" s="27"/>
      <c r="B849" s="645"/>
      <c r="C849" s="645"/>
      <c r="D849" s="131" t="s">
        <v>44</v>
      </c>
      <c r="F849" s="178"/>
      <c r="G849" s="178"/>
      <c r="H849" s="127"/>
      <c r="I849" s="178"/>
      <c r="J849" s="178"/>
      <c r="K849" s="178"/>
      <c r="L849" s="178"/>
      <c r="M849" s="178"/>
      <c r="N849" s="178"/>
      <c r="O849" s="178"/>
      <c r="P849" s="178"/>
      <c r="Q849" s="178"/>
      <c r="R849" s="178"/>
      <c r="S849" s="178"/>
      <c r="T849" s="178"/>
      <c r="U849" s="178"/>
      <c r="V849" s="410"/>
      <c r="Z849" s="178"/>
      <c r="AA849" s="178"/>
      <c r="AB849" s="178"/>
      <c r="AC849" s="178"/>
      <c r="AD849" s="178"/>
      <c r="AE849" s="178"/>
      <c r="AF849" s="178"/>
      <c r="AG849" s="178"/>
      <c r="AH849" s="178"/>
      <c r="AI849" s="178"/>
      <c r="AJ849" s="178"/>
      <c r="AK849" s="178"/>
      <c r="AL849" s="178"/>
      <c r="AM849" s="178"/>
      <c r="AN849" s="178"/>
      <c r="AO849" s="178"/>
      <c r="AP849" s="178"/>
      <c r="AQ849" s="178"/>
      <c r="AR849" s="178"/>
      <c r="AS849" s="178"/>
    </row>
    <row r="850" spans="1:45" s="21" customFormat="1" x14ac:dyDescent="0.4">
      <c r="A850" s="27"/>
      <c r="B850" s="645"/>
      <c r="C850" s="645"/>
      <c r="D850" s="131" t="s">
        <v>44</v>
      </c>
      <c r="F850" s="178"/>
      <c r="G850" s="178"/>
      <c r="H850" s="127"/>
      <c r="I850" s="178"/>
      <c r="J850" s="178"/>
      <c r="K850" s="178"/>
      <c r="L850" s="178"/>
      <c r="M850" s="178"/>
      <c r="N850" s="178"/>
      <c r="O850" s="178"/>
      <c r="P850" s="178"/>
      <c r="Q850" s="178"/>
      <c r="R850" s="178"/>
      <c r="S850" s="178"/>
      <c r="T850" s="178"/>
      <c r="U850" s="178"/>
      <c r="V850" s="410"/>
      <c r="Z850" s="178"/>
      <c r="AA850" s="178"/>
      <c r="AB850" s="178"/>
      <c r="AC850" s="178"/>
      <c r="AD850" s="178"/>
      <c r="AE850" s="178"/>
      <c r="AF850" s="178"/>
      <c r="AG850" s="178"/>
      <c r="AH850" s="178"/>
      <c r="AI850" s="178"/>
      <c r="AJ850" s="178"/>
      <c r="AK850" s="178"/>
      <c r="AL850" s="178"/>
      <c r="AM850" s="178"/>
      <c r="AN850" s="178"/>
      <c r="AO850" s="178"/>
      <c r="AP850" s="178"/>
      <c r="AQ850" s="178"/>
      <c r="AR850" s="178"/>
      <c r="AS850" s="178"/>
    </row>
    <row r="851" spans="1:45" s="21" customFormat="1" x14ac:dyDescent="0.4">
      <c r="A851" s="27"/>
      <c r="B851" s="645"/>
      <c r="C851" s="645"/>
      <c r="D851" s="131" t="s">
        <v>44</v>
      </c>
      <c r="F851" s="178"/>
      <c r="G851" s="178"/>
      <c r="H851" s="127"/>
      <c r="I851" s="178"/>
      <c r="J851" s="178"/>
      <c r="K851" s="178"/>
      <c r="L851" s="178"/>
      <c r="M851" s="178"/>
      <c r="N851" s="178"/>
      <c r="O851" s="178"/>
      <c r="P851" s="178"/>
      <c r="Q851" s="178"/>
      <c r="R851" s="178"/>
      <c r="S851" s="178"/>
      <c r="T851" s="178"/>
      <c r="U851" s="178"/>
      <c r="V851" s="410"/>
      <c r="Z851" s="178"/>
      <c r="AA851" s="178"/>
      <c r="AB851" s="178"/>
      <c r="AC851" s="178"/>
      <c r="AD851" s="178"/>
      <c r="AE851" s="178"/>
      <c r="AF851" s="178"/>
      <c r="AG851" s="178"/>
      <c r="AH851" s="178"/>
      <c r="AI851" s="178"/>
      <c r="AJ851" s="178"/>
      <c r="AK851" s="178"/>
      <c r="AL851" s="178"/>
      <c r="AM851" s="178"/>
      <c r="AN851" s="178"/>
      <c r="AO851" s="178"/>
      <c r="AP851" s="178"/>
      <c r="AQ851" s="178"/>
      <c r="AR851" s="178"/>
      <c r="AS851" s="178"/>
    </row>
    <row r="852" spans="1:45" s="21" customFormat="1" x14ac:dyDescent="0.4">
      <c r="A852" s="27"/>
      <c r="B852" s="645"/>
      <c r="C852" s="645"/>
      <c r="D852" s="131" t="s">
        <v>44</v>
      </c>
      <c r="F852" s="178"/>
      <c r="G852" s="178"/>
      <c r="H852" s="127"/>
      <c r="I852" s="178"/>
      <c r="J852" s="178"/>
      <c r="K852" s="178"/>
      <c r="L852" s="178"/>
      <c r="M852" s="178"/>
      <c r="N852" s="178"/>
      <c r="O852" s="178"/>
      <c r="P852" s="178"/>
      <c r="Q852" s="178"/>
      <c r="R852" s="178"/>
      <c r="S852" s="178"/>
      <c r="T852" s="178"/>
      <c r="U852" s="178"/>
      <c r="V852" s="410"/>
      <c r="Z852" s="178"/>
      <c r="AA852" s="178"/>
      <c r="AB852" s="178"/>
      <c r="AC852" s="178"/>
      <c r="AD852" s="178"/>
      <c r="AE852" s="178"/>
      <c r="AF852" s="178"/>
      <c r="AG852" s="178"/>
      <c r="AH852" s="178"/>
      <c r="AI852" s="178"/>
      <c r="AJ852" s="178"/>
      <c r="AK852" s="178"/>
      <c r="AL852" s="178"/>
      <c r="AM852" s="178"/>
      <c r="AN852" s="178"/>
      <c r="AO852" s="178"/>
      <c r="AP852" s="178"/>
      <c r="AQ852" s="178"/>
      <c r="AR852" s="178"/>
      <c r="AS852" s="178"/>
    </row>
    <row r="853" spans="1:45" s="21" customFormat="1" x14ac:dyDescent="0.4">
      <c r="A853" s="27"/>
      <c r="B853" s="645"/>
      <c r="C853" s="645"/>
      <c r="D853" s="131" t="s">
        <v>44</v>
      </c>
      <c r="F853" s="178"/>
      <c r="G853" s="178"/>
      <c r="H853" s="127"/>
      <c r="I853" s="178"/>
      <c r="J853" s="178"/>
      <c r="K853" s="178"/>
      <c r="L853" s="178"/>
      <c r="M853" s="178"/>
      <c r="N853" s="178"/>
      <c r="O853" s="178"/>
      <c r="P853" s="178"/>
      <c r="Q853" s="178"/>
      <c r="R853" s="178"/>
      <c r="S853" s="178"/>
      <c r="T853" s="178"/>
      <c r="U853" s="178"/>
      <c r="V853" s="410"/>
      <c r="Z853" s="178"/>
      <c r="AA853" s="178"/>
      <c r="AB853" s="178"/>
      <c r="AC853" s="178"/>
      <c r="AD853" s="178"/>
      <c r="AE853" s="178"/>
      <c r="AF853" s="178"/>
      <c r="AG853" s="178"/>
      <c r="AH853" s="178"/>
      <c r="AI853" s="178"/>
      <c r="AJ853" s="178"/>
      <c r="AK853" s="178"/>
      <c r="AL853" s="178"/>
      <c r="AM853" s="178"/>
      <c r="AN853" s="178"/>
      <c r="AO853" s="178"/>
      <c r="AP853" s="178"/>
      <c r="AQ853" s="178"/>
      <c r="AR853" s="178"/>
      <c r="AS853" s="178"/>
    </row>
    <row r="854" spans="1:45" s="21" customFormat="1" x14ac:dyDescent="0.4">
      <c r="A854" s="27"/>
      <c r="B854" s="645"/>
      <c r="C854" s="645"/>
      <c r="D854" s="131" t="s">
        <v>44</v>
      </c>
      <c r="F854" s="178"/>
      <c r="G854" s="178"/>
      <c r="H854" s="127"/>
      <c r="I854" s="178"/>
      <c r="J854" s="178"/>
      <c r="K854" s="178"/>
      <c r="L854" s="178"/>
      <c r="M854" s="178"/>
      <c r="N854" s="178"/>
      <c r="O854" s="178"/>
      <c r="P854" s="178"/>
      <c r="Q854" s="178"/>
      <c r="R854" s="178"/>
      <c r="S854" s="178"/>
      <c r="T854" s="178"/>
      <c r="U854" s="178"/>
      <c r="V854" s="410"/>
      <c r="Z854" s="178"/>
      <c r="AA854" s="178"/>
      <c r="AB854" s="178"/>
      <c r="AC854" s="178"/>
      <c r="AD854" s="178"/>
      <c r="AE854" s="178"/>
      <c r="AF854" s="178"/>
      <c r="AG854" s="178"/>
      <c r="AH854" s="178"/>
      <c r="AI854" s="178"/>
      <c r="AJ854" s="178"/>
      <c r="AK854" s="178"/>
      <c r="AL854" s="178"/>
      <c r="AM854" s="178"/>
      <c r="AN854" s="178"/>
      <c r="AO854" s="178"/>
      <c r="AP854" s="178"/>
      <c r="AQ854" s="178"/>
      <c r="AR854" s="178"/>
      <c r="AS854" s="178"/>
    </row>
    <row r="855" spans="1:45" s="21" customFormat="1" x14ac:dyDescent="0.4">
      <c r="A855" s="27"/>
      <c r="B855" s="645"/>
      <c r="C855" s="645"/>
      <c r="D855" s="131" t="s">
        <v>44</v>
      </c>
      <c r="F855" s="178"/>
      <c r="G855" s="178"/>
      <c r="H855" s="127"/>
      <c r="I855" s="178"/>
      <c r="J855" s="178"/>
      <c r="K855" s="178"/>
      <c r="L855" s="178"/>
      <c r="M855" s="178"/>
      <c r="N855" s="178"/>
      <c r="O855" s="178"/>
      <c r="P855" s="178"/>
      <c r="Q855" s="178"/>
      <c r="R855" s="178"/>
      <c r="S855" s="178"/>
      <c r="T855" s="178"/>
      <c r="U855" s="178"/>
      <c r="V855" s="410"/>
      <c r="Z855" s="178"/>
      <c r="AA855" s="178"/>
      <c r="AB855" s="178"/>
      <c r="AC855" s="178"/>
      <c r="AD855" s="178"/>
      <c r="AE855" s="178"/>
      <c r="AF855" s="178"/>
      <c r="AG855" s="178"/>
      <c r="AH855" s="178"/>
      <c r="AI855" s="178"/>
      <c r="AJ855" s="178"/>
      <c r="AK855" s="178"/>
      <c r="AL855" s="178"/>
      <c r="AM855" s="178"/>
      <c r="AN855" s="178"/>
      <c r="AO855" s="178"/>
      <c r="AP855" s="178"/>
      <c r="AQ855" s="178"/>
      <c r="AR855" s="178"/>
      <c r="AS855" s="178"/>
    </row>
    <row r="856" spans="1:45" s="21" customFormat="1" x14ac:dyDescent="0.4">
      <c r="A856" s="27"/>
      <c r="B856" s="645"/>
      <c r="C856" s="645"/>
      <c r="D856" s="131" t="s">
        <v>44</v>
      </c>
      <c r="F856" s="178"/>
      <c r="G856" s="178"/>
      <c r="H856" s="127"/>
      <c r="I856" s="178"/>
      <c r="J856" s="178"/>
      <c r="K856" s="178"/>
      <c r="L856" s="178"/>
      <c r="M856" s="178"/>
      <c r="N856" s="178"/>
      <c r="O856" s="178"/>
      <c r="P856" s="178"/>
      <c r="Q856" s="178"/>
      <c r="R856" s="178"/>
      <c r="S856" s="178"/>
      <c r="T856" s="178"/>
      <c r="U856" s="178"/>
      <c r="V856" s="410"/>
      <c r="Z856" s="178"/>
      <c r="AA856" s="178"/>
      <c r="AB856" s="178"/>
      <c r="AC856" s="178"/>
      <c r="AD856" s="178"/>
      <c r="AE856" s="178"/>
      <c r="AF856" s="178"/>
      <c r="AG856" s="178"/>
      <c r="AH856" s="178"/>
      <c r="AI856" s="178"/>
      <c r="AJ856" s="178"/>
      <c r="AK856" s="178"/>
      <c r="AL856" s="178"/>
      <c r="AM856" s="178"/>
      <c r="AN856" s="178"/>
      <c r="AO856" s="178"/>
      <c r="AP856" s="178"/>
      <c r="AQ856" s="178"/>
      <c r="AR856" s="178"/>
      <c r="AS856" s="178"/>
    </row>
    <row r="857" spans="1:45" s="21" customFormat="1" x14ac:dyDescent="0.4">
      <c r="A857" s="27"/>
      <c r="B857" s="645"/>
      <c r="C857" s="645"/>
      <c r="D857" s="131" t="s">
        <v>44</v>
      </c>
      <c r="F857" s="178"/>
      <c r="G857" s="178"/>
      <c r="H857" s="127"/>
      <c r="I857" s="178"/>
      <c r="J857" s="178"/>
      <c r="K857" s="178"/>
      <c r="L857" s="178"/>
      <c r="M857" s="178"/>
      <c r="N857" s="178"/>
      <c r="O857" s="178"/>
      <c r="P857" s="178"/>
      <c r="Q857" s="178"/>
      <c r="R857" s="178"/>
      <c r="S857" s="178"/>
      <c r="T857" s="178"/>
      <c r="U857" s="178"/>
      <c r="V857" s="410"/>
      <c r="Z857" s="178"/>
      <c r="AA857" s="178"/>
      <c r="AB857" s="178"/>
      <c r="AC857" s="178"/>
      <c r="AD857" s="178"/>
      <c r="AE857" s="178"/>
      <c r="AF857" s="178"/>
      <c r="AG857" s="178"/>
      <c r="AH857" s="178"/>
      <c r="AI857" s="178"/>
      <c r="AJ857" s="178"/>
      <c r="AK857" s="178"/>
      <c r="AL857" s="178"/>
      <c r="AM857" s="178"/>
      <c r="AN857" s="178"/>
      <c r="AO857" s="178"/>
      <c r="AP857" s="178"/>
      <c r="AQ857" s="178"/>
      <c r="AR857" s="178"/>
      <c r="AS857" s="178"/>
    </row>
    <row r="858" spans="1:45" s="21" customFormat="1" x14ac:dyDescent="0.4">
      <c r="A858" s="27"/>
      <c r="B858" s="645"/>
      <c r="C858" s="645"/>
      <c r="D858" s="131"/>
      <c r="F858" s="178"/>
      <c r="G858" s="178"/>
      <c r="H858" s="127"/>
      <c r="I858" s="178"/>
      <c r="J858" s="178"/>
      <c r="K858" s="178"/>
      <c r="L858" s="178"/>
      <c r="M858" s="178"/>
      <c r="N858" s="178"/>
      <c r="O858" s="178"/>
      <c r="P858" s="178"/>
      <c r="Q858" s="178"/>
      <c r="R858" s="178"/>
      <c r="S858" s="178"/>
      <c r="T858" s="178"/>
      <c r="U858" s="178"/>
      <c r="V858" s="410"/>
      <c r="Z858" s="178"/>
      <c r="AA858" s="178"/>
      <c r="AB858" s="178"/>
      <c r="AC858" s="178"/>
      <c r="AD858" s="178"/>
      <c r="AE858" s="178"/>
      <c r="AF858" s="178"/>
      <c r="AG858" s="178"/>
      <c r="AH858" s="178"/>
      <c r="AI858" s="178"/>
      <c r="AJ858" s="178"/>
      <c r="AK858" s="178"/>
      <c r="AL858" s="178"/>
      <c r="AM858" s="178"/>
      <c r="AN858" s="178"/>
      <c r="AO858" s="178"/>
      <c r="AP858" s="178"/>
      <c r="AQ858" s="178"/>
      <c r="AR858" s="178"/>
      <c r="AS858" s="178"/>
    </row>
    <row r="859" spans="1:45" s="757" customFormat="1" ht="27" customHeight="1" x14ac:dyDescent="0.4">
      <c r="A859" s="756"/>
      <c r="B859" s="756"/>
      <c r="C859" s="756"/>
      <c r="E859" s="757" t="str">
        <f>UPPER('Talnagögn | Numerical Data'!$E$5)</f>
        <v>SÖGULEG LOSUN</v>
      </c>
      <c r="F859" s="758"/>
      <c r="G859" s="758"/>
      <c r="H859" s="758"/>
      <c r="I859" s="758"/>
      <c r="J859" s="758"/>
      <c r="K859" s="758"/>
      <c r="L859" s="758"/>
      <c r="M859" s="758"/>
      <c r="N859" s="758"/>
      <c r="O859" s="758"/>
      <c r="P859" s="758"/>
      <c r="Q859" s="758"/>
      <c r="R859" s="758"/>
      <c r="S859" s="758"/>
      <c r="T859" s="758"/>
      <c r="U859" s="758"/>
      <c r="V859" s="759"/>
      <c r="Y859" s="757" t="str">
        <f>UPPER('Talnagögn | Numerical Data'!$G$5)</f>
        <v>HISTORICAL EMISSIONS</v>
      </c>
      <c r="Z859" s="758"/>
      <c r="AA859" s="758"/>
      <c r="AB859" s="758"/>
      <c r="AC859" s="758"/>
      <c r="AD859" s="758"/>
      <c r="AE859" s="758"/>
      <c r="AF859" s="758"/>
      <c r="AG859" s="758"/>
      <c r="AH859" s="758"/>
      <c r="AI859" s="758"/>
      <c r="AJ859" s="758"/>
      <c r="AK859" s="758"/>
      <c r="AL859" s="758"/>
      <c r="AM859" s="758"/>
      <c r="AN859" s="758"/>
      <c r="AO859" s="758"/>
      <c r="AP859" s="758"/>
      <c r="AQ859" s="758"/>
      <c r="AR859" s="758"/>
      <c r="AS859" s="758"/>
    </row>
    <row r="860" spans="1:45" s="21" customFormat="1" x14ac:dyDescent="0.4">
      <c r="A860" s="27"/>
      <c r="B860" s="645"/>
      <c r="C860" s="645"/>
      <c r="D860" s="131" t="s">
        <v>44</v>
      </c>
      <c r="F860" s="178"/>
      <c r="G860" s="178"/>
      <c r="H860" s="127"/>
      <c r="I860" s="178"/>
      <c r="J860" s="178"/>
      <c r="K860" s="178"/>
      <c r="L860" s="178"/>
      <c r="M860" s="178"/>
      <c r="N860" s="178"/>
      <c r="O860" s="178"/>
      <c r="P860" s="178"/>
      <c r="Q860" s="178"/>
      <c r="R860" s="178"/>
      <c r="S860" s="178"/>
      <c r="T860" s="178"/>
      <c r="U860" s="178"/>
      <c r="V860" s="410"/>
      <c r="Z860" s="178"/>
      <c r="AA860" s="178"/>
      <c r="AB860" s="178"/>
      <c r="AC860" s="178"/>
      <c r="AD860" s="178"/>
      <c r="AE860" s="178"/>
      <c r="AF860" s="178"/>
      <c r="AG860" s="178"/>
      <c r="AH860" s="178"/>
      <c r="AI860" s="178"/>
      <c r="AJ860" s="178"/>
      <c r="AK860" s="178"/>
      <c r="AL860" s="178"/>
      <c r="AM860" s="178"/>
      <c r="AN860" s="178"/>
      <c r="AO860" s="178"/>
      <c r="AP860" s="178"/>
      <c r="AQ860" s="178"/>
      <c r="AR860" s="178"/>
      <c r="AS860" s="178"/>
    </row>
    <row r="861" spans="1:45" s="21" customFormat="1" x14ac:dyDescent="0.4">
      <c r="A861" s="27"/>
      <c r="B861" s="645"/>
      <c r="C861" s="645"/>
      <c r="D861" s="131" t="s">
        <v>44</v>
      </c>
      <c r="F861" s="178"/>
      <c r="G861" s="178"/>
      <c r="H861" s="127"/>
      <c r="I861" s="178"/>
      <c r="J861" s="178"/>
      <c r="K861" s="178"/>
      <c r="L861" s="178"/>
      <c r="M861" s="178"/>
      <c r="N861" s="178"/>
      <c r="O861" s="178"/>
      <c r="P861" s="178"/>
      <c r="Q861" s="178"/>
      <c r="R861" s="178"/>
      <c r="S861" s="178"/>
      <c r="T861" s="178"/>
      <c r="U861" s="178"/>
      <c r="V861" s="410"/>
      <c r="Z861" s="178"/>
      <c r="AA861" s="178"/>
      <c r="AB861" s="178"/>
      <c r="AC861" s="178"/>
      <c r="AD861" s="178"/>
      <c r="AE861" s="178"/>
      <c r="AF861" s="178"/>
      <c r="AG861" s="178"/>
      <c r="AH861" s="178"/>
      <c r="AI861" s="178"/>
      <c r="AJ861" s="178"/>
      <c r="AK861" s="178"/>
      <c r="AL861" s="178"/>
      <c r="AM861" s="178"/>
      <c r="AN861" s="178"/>
      <c r="AO861" s="178"/>
      <c r="AP861" s="178"/>
      <c r="AQ861" s="178"/>
      <c r="AR861" s="178"/>
      <c r="AS861" s="178"/>
    </row>
    <row r="862" spans="1:45" s="21" customFormat="1" x14ac:dyDescent="0.4">
      <c r="A862" s="27"/>
      <c r="B862" s="645"/>
      <c r="C862" s="645"/>
      <c r="D862" s="131" t="s">
        <v>44</v>
      </c>
      <c r="F862" s="178"/>
      <c r="G862" s="178"/>
      <c r="H862" s="127"/>
      <c r="I862" s="178"/>
      <c r="J862" s="178"/>
      <c r="K862" s="178"/>
      <c r="L862" s="178"/>
      <c r="M862" s="178"/>
      <c r="N862" s="178"/>
      <c r="O862" s="178"/>
      <c r="P862" s="178"/>
      <c r="Q862" s="178"/>
      <c r="R862" s="178"/>
      <c r="S862" s="178"/>
      <c r="T862" s="178"/>
      <c r="U862" s="178"/>
      <c r="V862" s="410"/>
      <c r="Z862" s="178"/>
      <c r="AA862" s="178"/>
      <c r="AB862" s="178"/>
      <c r="AC862" s="178"/>
      <c r="AD862" s="178"/>
      <c r="AE862" s="178"/>
      <c r="AF862" s="178"/>
      <c r="AG862" s="178"/>
      <c r="AH862" s="178"/>
      <c r="AI862" s="178"/>
      <c r="AJ862" s="178"/>
      <c r="AK862" s="178"/>
      <c r="AL862" s="178"/>
      <c r="AM862" s="178"/>
      <c r="AN862" s="178"/>
      <c r="AO862" s="178"/>
      <c r="AP862" s="178"/>
      <c r="AQ862" s="178"/>
      <c r="AR862" s="178"/>
      <c r="AS862" s="178"/>
    </row>
    <row r="863" spans="1:45" s="21" customFormat="1" x14ac:dyDescent="0.4">
      <c r="A863" s="27"/>
      <c r="B863" s="645"/>
      <c r="C863" s="645"/>
      <c r="D863" s="131" t="s">
        <v>44</v>
      </c>
      <c r="F863" s="178"/>
      <c r="G863" s="178"/>
      <c r="H863" s="127"/>
      <c r="I863" s="178"/>
      <c r="J863" s="178"/>
      <c r="K863" s="178"/>
      <c r="L863" s="178"/>
      <c r="M863" s="178"/>
      <c r="N863" s="178"/>
      <c r="O863" s="178"/>
      <c r="P863" s="178"/>
      <c r="Q863" s="178"/>
      <c r="R863" s="178"/>
      <c r="S863" s="178"/>
      <c r="T863" s="178"/>
      <c r="U863" s="178"/>
      <c r="V863" s="410"/>
      <c r="Z863" s="178"/>
      <c r="AA863" s="178"/>
      <c r="AB863" s="178"/>
      <c r="AC863" s="178"/>
      <c r="AD863" s="178"/>
      <c r="AE863" s="178"/>
      <c r="AF863" s="178"/>
      <c r="AG863" s="178"/>
      <c r="AH863" s="178"/>
      <c r="AI863" s="178"/>
      <c r="AJ863" s="178"/>
      <c r="AK863" s="178"/>
      <c r="AL863" s="178"/>
      <c r="AM863" s="178"/>
      <c r="AN863" s="178"/>
      <c r="AO863" s="178"/>
      <c r="AP863" s="178"/>
      <c r="AQ863" s="178"/>
      <c r="AR863" s="178"/>
      <c r="AS863" s="178"/>
    </row>
    <row r="864" spans="1:45" s="21" customFormat="1" x14ac:dyDescent="0.4">
      <c r="A864" s="27"/>
      <c r="B864" s="645"/>
      <c r="C864" s="645"/>
      <c r="D864" s="131" t="s">
        <v>44</v>
      </c>
      <c r="F864" s="178"/>
      <c r="G864" s="178"/>
      <c r="H864" s="127"/>
      <c r="I864" s="178"/>
      <c r="J864" s="178"/>
      <c r="K864" s="178"/>
      <c r="L864" s="178"/>
      <c r="M864" s="178"/>
      <c r="N864" s="178"/>
      <c r="O864" s="178"/>
      <c r="P864" s="178"/>
      <c r="Q864" s="178"/>
      <c r="R864" s="178"/>
      <c r="S864" s="178"/>
      <c r="T864" s="178"/>
      <c r="U864" s="178"/>
      <c r="V864" s="410"/>
      <c r="Z864" s="178"/>
      <c r="AA864" s="178"/>
      <c r="AB864" s="178"/>
      <c r="AC864" s="178"/>
      <c r="AD864" s="178"/>
      <c r="AE864" s="178"/>
      <c r="AF864" s="178"/>
      <c r="AG864" s="178"/>
      <c r="AH864" s="178"/>
      <c r="AI864" s="178"/>
      <c r="AJ864" s="178"/>
      <c r="AK864" s="178"/>
      <c r="AL864" s="178"/>
      <c r="AM864" s="178"/>
      <c r="AN864" s="178"/>
      <c r="AO864" s="178"/>
      <c r="AP864" s="178"/>
      <c r="AQ864" s="178"/>
      <c r="AR864" s="178"/>
      <c r="AS864" s="178"/>
    </row>
    <row r="865" spans="1:45" s="21" customFormat="1" x14ac:dyDescent="0.4">
      <c r="A865" s="27"/>
      <c r="B865" s="645"/>
      <c r="C865" s="645"/>
      <c r="D865" s="131" t="s">
        <v>44</v>
      </c>
      <c r="F865" s="178"/>
      <c r="G865" s="178"/>
      <c r="H865" s="127"/>
      <c r="I865" s="178"/>
      <c r="J865" s="178"/>
      <c r="K865" s="178"/>
      <c r="L865" s="178"/>
      <c r="M865" s="178"/>
      <c r="N865" s="178"/>
      <c r="O865" s="178"/>
      <c r="P865" s="178"/>
      <c r="Q865" s="178"/>
      <c r="R865" s="178"/>
      <c r="S865" s="178"/>
      <c r="T865" s="178"/>
      <c r="U865" s="178"/>
      <c r="V865" s="410"/>
      <c r="Z865" s="178"/>
      <c r="AA865" s="178"/>
      <c r="AB865" s="178"/>
      <c r="AC865" s="178"/>
      <c r="AD865" s="178"/>
      <c r="AE865" s="178"/>
      <c r="AF865" s="178"/>
      <c r="AG865" s="178"/>
      <c r="AH865" s="178"/>
      <c r="AI865" s="178"/>
      <c r="AJ865" s="178"/>
      <c r="AK865" s="178"/>
      <c r="AL865" s="178"/>
      <c r="AM865" s="178"/>
      <c r="AN865" s="178"/>
      <c r="AO865" s="178"/>
      <c r="AP865" s="178"/>
      <c r="AQ865" s="178"/>
      <c r="AR865" s="178"/>
      <c r="AS865" s="178"/>
    </row>
    <row r="866" spans="1:45" s="21" customFormat="1" x14ac:dyDescent="0.4">
      <c r="A866" s="27"/>
      <c r="B866" s="645"/>
      <c r="C866" s="645"/>
      <c r="D866" s="131" t="s">
        <v>44</v>
      </c>
      <c r="F866" s="178"/>
      <c r="G866" s="178"/>
      <c r="H866" s="127"/>
      <c r="I866" s="178"/>
      <c r="J866" s="178"/>
      <c r="K866" s="178"/>
      <c r="L866" s="178"/>
      <c r="M866" s="178"/>
      <c r="N866" s="178"/>
      <c r="O866" s="178"/>
      <c r="P866" s="178"/>
      <c r="Q866" s="178"/>
      <c r="R866" s="178"/>
      <c r="S866" s="178"/>
      <c r="T866" s="178"/>
      <c r="U866" s="178"/>
      <c r="V866" s="410"/>
      <c r="Z866" s="178"/>
      <c r="AA866" s="178"/>
      <c r="AB866" s="178"/>
      <c r="AC866" s="178"/>
      <c r="AD866" s="178"/>
      <c r="AE866" s="178"/>
      <c r="AF866" s="178"/>
      <c r="AG866" s="178"/>
      <c r="AH866" s="178"/>
      <c r="AI866" s="178"/>
      <c r="AJ866" s="178"/>
      <c r="AK866" s="178"/>
      <c r="AL866" s="178"/>
      <c r="AM866" s="178"/>
      <c r="AN866" s="178"/>
      <c r="AO866" s="178"/>
      <c r="AP866" s="178"/>
      <c r="AQ866" s="178"/>
      <c r="AR866" s="178"/>
      <c r="AS866" s="178"/>
    </row>
    <row r="867" spans="1:45" s="21" customFormat="1" x14ac:dyDescent="0.4">
      <c r="A867" s="27"/>
      <c r="B867" s="645"/>
      <c r="C867" s="645"/>
      <c r="D867" s="131" t="s">
        <v>44</v>
      </c>
      <c r="F867" s="178"/>
      <c r="G867" s="178"/>
      <c r="H867" s="127"/>
      <c r="I867" s="178"/>
      <c r="J867" s="178"/>
      <c r="K867" s="178"/>
      <c r="L867" s="178"/>
      <c r="M867" s="178"/>
      <c r="N867" s="178"/>
      <c r="O867" s="178"/>
      <c r="P867" s="178"/>
      <c r="Q867" s="178"/>
      <c r="R867" s="178"/>
      <c r="S867" s="178"/>
      <c r="T867" s="178"/>
      <c r="U867" s="178"/>
      <c r="V867" s="410"/>
      <c r="Z867" s="178"/>
      <c r="AA867" s="178"/>
      <c r="AB867" s="178"/>
      <c r="AC867" s="178"/>
      <c r="AD867" s="178"/>
      <c r="AE867" s="178"/>
      <c r="AF867" s="178"/>
      <c r="AG867" s="178"/>
      <c r="AH867" s="178"/>
      <c r="AI867" s="178"/>
      <c r="AJ867" s="178"/>
      <c r="AK867" s="178"/>
      <c r="AL867" s="178"/>
      <c r="AM867" s="178"/>
      <c r="AN867" s="178"/>
      <c r="AO867" s="178"/>
      <c r="AP867" s="178"/>
      <c r="AQ867" s="178"/>
      <c r="AR867" s="178"/>
      <c r="AS867" s="178"/>
    </row>
    <row r="868" spans="1:45" s="21" customFormat="1" x14ac:dyDescent="0.4">
      <c r="A868" s="27"/>
      <c r="B868" s="645"/>
      <c r="C868" s="645"/>
      <c r="D868" s="131" t="s">
        <v>44</v>
      </c>
      <c r="F868" s="178"/>
      <c r="G868" s="178"/>
      <c r="H868" s="127"/>
      <c r="I868" s="178"/>
      <c r="J868" s="178"/>
      <c r="K868" s="178"/>
      <c r="L868" s="178"/>
      <c r="M868" s="178"/>
      <c r="N868" s="178"/>
      <c r="O868" s="178"/>
      <c r="P868" s="178"/>
      <c r="Q868" s="178"/>
      <c r="R868" s="178"/>
      <c r="S868" s="178"/>
      <c r="T868" s="178"/>
      <c r="U868" s="178"/>
      <c r="V868" s="410"/>
      <c r="Z868" s="178"/>
      <c r="AA868" s="178"/>
      <c r="AB868" s="178"/>
      <c r="AC868" s="178"/>
      <c r="AD868" s="178"/>
      <c r="AE868" s="178"/>
      <c r="AF868" s="178"/>
      <c r="AG868" s="178"/>
      <c r="AH868" s="178"/>
      <c r="AI868" s="178"/>
      <c r="AJ868" s="178"/>
      <c r="AK868" s="178"/>
      <c r="AL868" s="178"/>
      <c r="AM868" s="178"/>
      <c r="AN868" s="178"/>
      <c r="AO868" s="178"/>
      <c r="AP868" s="178"/>
      <c r="AQ868" s="178"/>
      <c r="AR868" s="178"/>
      <c r="AS868" s="178"/>
    </row>
    <row r="869" spans="1:45" s="21" customFormat="1" x14ac:dyDescent="0.4">
      <c r="A869" s="27"/>
      <c r="B869" s="645"/>
      <c r="C869" s="645"/>
      <c r="D869" s="131" t="s">
        <v>44</v>
      </c>
      <c r="F869" s="178"/>
      <c r="G869" s="178"/>
      <c r="H869" s="127"/>
      <c r="I869" s="178"/>
      <c r="J869" s="178"/>
      <c r="K869" s="178"/>
      <c r="L869" s="178"/>
      <c r="M869" s="178"/>
      <c r="N869" s="178"/>
      <c r="O869" s="178"/>
      <c r="P869" s="178"/>
      <c r="Q869" s="178"/>
      <c r="R869" s="178"/>
      <c r="S869" s="178"/>
      <c r="T869" s="178"/>
      <c r="U869" s="178"/>
      <c r="V869" s="410"/>
      <c r="Z869" s="178"/>
      <c r="AA869" s="178"/>
      <c r="AB869" s="178"/>
      <c r="AC869" s="178"/>
      <c r="AD869" s="178"/>
      <c r="AE869" s="178"/>
      <c r="AF869" s="178"/>
      <c r="AG869" s="178"/>
      <c r="AH869" s="178"/>
      <c r="AI869" s="178"/>
      <c r="AJ869" s="178"/>
      <c r="AK869" s="178"/>
      <c r="AL869" s="178"/>
      <c r="AM869" s="178"/>
      <c r="AN869" s="178"/>
      <c r="AO869" s="178"/>
      <c r="AP869" s="178"/>
      <c r="AQ869" s="178"/>
      <c r="AR869" s="178"/>
      <c r="AS869" s="178"/>
    </row>
    <row r="870" spans="1:45" s="21" customFormat="1" x14ac:dyDescent="0.4">
      <c r="A870" s="27"/>
      <c r="B870" s="645"/>
      <c r="C870" s="645"/>
      <c r="D870" s="131" t="s">
        <v>44</v>
      </c>
      <c r="F870" s="178"/>
      <c r="G870" s="178"/>
      <c r="H870" s="127"/>
      <c r="I870" s="178"/>
      <c r="J870" s="178"/>
      <c r="K870" s="178"/>
      <c r="L870" s="178"/>
      <c r="M870" s="178"/>
      <c r="N870" s="178"/>
      <c r="O870" s="178"/>
      <c r="P870" s="178"/>
      <c r="Q870" s="178"/>
      <c r="R870" s="178"/>
      <c r="S870" s="178"/>
      <c r="T870" s="178"/>
      <c r="U870" s="178"/>
      <c r="V870" s="410"/>
      <c r="Z870" s="178"/>
      <c r="AA870" s="178"/>
      <c r="AB870" s="178"/>
      <c r="AC870" s="178"/>
      <c r="AD870" s="178"/>
      <c r="AE870" s="178"/>
      <c r="AF870" s="178"/>
      <c r="AG870" s="178"/>
      <c r="AH870" s="178"/>
      <c r="AI870" s="178"/>
      <c r="AJ870" s="178"/>
      <c r="AK870" s="178"/>
      <c r="AL870" s="178"/>
      <c r="AM870" s="178"/>
      <c r="AN870" s="178"/>
      <c r="AO870" s="178"/>
      <c r="AP870" s="178"/>
      <c r="AQ870" s="178"/>
      <c r="AR870" s="178"/>
      <c r="AS870" s="178"/>
    </row>
    <row r="871" spans="1:45" s="21" customFormat="1" x14ac:dyDescent="0.4">
      <c r="A871" s="27"/>
      <c r="B871" s="645"/>
      <c r="C871" s="645"/>
      <c r="D871" s="131" t="s">
        <v>44</v>
      </c>
      <c r="F871" s="178"/>
      <c r="G871" s="178"/>
      <c r="H871" s="127"/>
      <c r="I871" s="178"/>
      <c r="J871" s="178"/>
      <c r="K871" s="178"/>
      <c r="L871" s="178"/>
      <c r="M871" s="178"/>
      <c r="N871" s="178"/>
      <c r="O871" s="178"/>
      <c r="P871" s="178"/>
      <c r="Q871" s="178"/>
      <c r="R871" s="178"/>
      <c r="S871" s="178"/>
      <c r="T871" s="178"/>
      <c r="U871" s="178"/>
      <c r="V871" s="410"/>
      <c r="Z871" s="178"/>
      <c r="AA871" s="178"/>
      <c r="AB871" s="178"/>
      <c r="AC871" s="178"/>
      <c r="AD871" s="178"/>
      <c r="AE871" s="178"/>
      <c r="AF871" s="178"/>
      <c r="AG871" s="178"/>
      <c r="AH871" s="178"/>
      <c r="AI871" s="178"/>
      <c r="AJ871" s="178"/>
      <c r="AK871" s="178"/>
      <c r="AL871" s="178"/>
      <c r="AM871" s="178"/>
      <c r="AN871" s="178"/>
      <c r="AO871" s="178"/>
      <c r="AP871" s="178"/>
      <c r="AQ871" s="178"/>
      <c r="AR871" s="178"/>
      <c r="AS871" s="178"/>
    </row>
    <row r="872" spans="1:45" s="21" customFormat="1" x14ac:dyDescent="0.4">
      <c r="A872" s="27"/>
      <c r="B872" s="645"/>
      <c r="C872" s="645"/>
      <c r="D872" s="131" t="s">
        <v>44</v>
      </c>
      <c r="F872" s="178"/>
      <c r="G872" s="178"/>
      <c r="H872" s="127"/>
      <c r="I872" s="178"/>
      <c r="J872" s="178"/>
      <c r="K872" s="178"/>
      <c r="L872" s="178"/>
      <c r="M872" s="178"/>
      <c r="N872" s="178"/>
      <c r="O872" s="178"/>
      <c r="P872" s="178"/>
      <c r="Q872" s="178"/>
      <c r="R872" s="178"/>
      <c r="S872" s="178"/>
      <c r="T872" s="178"/>
      <c r="U872" s="178"/>
      <c r="V872" s="410"/>
      <c r="Z872" s="178"/>
      <c r="AA872" s="178"/>
      <c r="AB872" s="178"/>
      <c r="AC872" s="178"/>
      <c r="AD872" s="178"/>
      <c r="AE872" s="178"/>
      <c r="AF872" s="178"/>
      <c r="AG872" s="178"/>
      <c r="AH872" s="178"/>
      <c r="AI872" s="178"/>
      <c r="AJ872" s="178"/>
      <c r="AK872" s="178"/>
      <c r="AL872" s="178"/>
      <c r="AM872" s="178"/>
      <c r="AN872" s="178"/>
      <c r="AO872" s="178"/>
      <c r="AP872" s="178"/>
      <c r="AQ872" s="178"/>
      <c r="AR872" s="178"/>
      <c r="AS872" s="178"/>
    </row>
    <row r="873" spans="1:45" s="21" customFormat="1" x14ac:dyDescent="0.4">
      <c r="A873" s="27"/>
      <c r="B873" s="645"/>
      <c r="C873" s="645"/>
      <c r="D873" s="131" t="s">
        <v>44</v>
      </c>
      <c r="F873" s="178"/>
      <c r="G873" s="178"/>
      <c r="H873" s="127"/>
      <c r="I873" s="178"/>
      <c r="J873" s="178"/>
      <c r="K873" s="178"/>
      <c r="L873" s="178"/>
      <c r="M873" s="178"/>
      <c r="N873" s="178"/>
      <c r="O873" s="178"/>
      <c r="P873" s="178"/>
      <c r="Q873" s="178"/>
      <c r="R873" s="178"/>
      <c r="S873" s="178"/>
      <c r="T873" s="178"/>
      <c r="U873" s="178"/>
      <c r="V873" s="410"/>
      <c r="Z873" s="178"/>
      <c r="AA873" s="178"/>
      <c r="AB873" s="178"/>
      <c r="AC873" s="178"/>
      <c r="AD873" s="178"/>
      <c r="AE873" s="178"/>
      <c r="AF873" s="178"/>
      <c r="AG873" s="178"/>
      <c r="AH873" s="178"/>
      <c r="AI873" s="178"/>
      <c r="AJ873" s="178"/>
      <c r="AK873" s="178"/>
      <c r="AL873" s="178"/>
      <c r="AM873" s="178"/>
      <c r="AN873" s="178"/>
      <c r="AO873" s="178"/>
      <c r="AP873" s="178"/>
      <c r="AQ873" s="178"/>
      <c r="AR873" s="178"/>
      <c r="AS873" s="178"/>
    </row>
    <row r="874" spans="1:45" s="21" customFormat="1" x14ac:dyDescent="0.4">
      <c r="A874" s="27"/>
      <c r="B874" s="645"/>
      <c r="C874" s="645"/>
      <c r="D874" s="131" t="s">
        <v>44</v>
      </c>
      <c r="F874" s="178"/>
      <c r="G874" s="178"/>
      <c r="H874" s="127"/>
      <c r="I874" s="178"/>
      <c r="J874" s="178"/>
      <c r="K874" s="178"/>
      <c r="L874" s="178"/>
      <c r="M874" s="178"/>
      <c r="N874" s="178"/>
      <c r="O874" s="178"/>
      <c r="P874" s="178"/>
      <c r="Q874" s="178"/>
      <c r="R874" s="178"/>
      <c r="S874" s="178"/>
      <c r="T874" s="178"/>
      <c r="U874" s="178"/>
      <c r="V874" s="410"/>
      <c r="Z874" s="178"/>
      <c r="AA874" s="178"/>
      <c r="AB874" s="178"/>
      <c r="AC874" s="178"/>
      <c r="AD874" s="178"/>
      <c r="AE874" s="178"/>
      <c r="AF874" s="178"/>
      <c r="AG874" s="178"/>
      <c r="AH874" s="178"/>
      <c r="AI874" s="178"/>
      <c r="AJ874" s="178"/>
      <c r="AK874" s="178"/>
      <c r="AL874" s="178"/>
      <c r="AM874" s="178"/>
      <c r="AN874" s="178"/>
      <c r="AO874" s="178"/>
      <c r="AP874" s="178"/>
      <c r="AQ874" s="178"/>
      <c r="AR874" s="178"/>
      <c r="AS874" s="178"/>
    </row>
    <row r="875" spans="1:45" s="21" customFormat="1" x14ac:dyDescent="0.4">
      <c r="A875" s="27"/>
      <c r="B875" s="645"/>
      <c r="C875" s="645"/>
      <c r="D875" s="131" t="s">
        <v>44</v>
      </c>
      <c r="F875" s="178"/>
      <c r="G875" s="178"/>
      <c r="H875" s="127"/>
      <c r="I875" s="178"/>
      <c r="J875" s="178"/>
      <c r="K875" s="178"/>
      <c r="L875" s="178"/>
      <c r="M875" s="178"/>
      <c r="N875" s="178"/>
      <c r="O875" s="178"/>
      <c r="P875" s="178"/>
      <c r="Q875" s="178"/>
      <c r="R875" s="178"/>
      <c r="S875" s="178"/>
      <c r="T875" s="178"/>
      <c r="U875" s="178"/>
      <c r="V875" s="410"/>
      <c r="Z875" s="178"/>
      <c r="AA875" s="178"/>
      <c r="AB875" s="178"/>
      <c r="AC875" s="178"/>
      <c r="AD875" s="178"/>
      <c r="AE875" s="178"/>
      <c r="AF875" s="178"/>
      <c r="AG875" s="178"/>
      <c r="AH875" s="178"/>
      <c r="AI875" s="178"/>
      <c r="AJ875" s="178"/>
      <c r="AK875" s="178"/>
      <c r="AL875" s="178"/>
      <c r="AM875" s="178"/>
      <c r="AN875" s="178"/>
      <c r="AO875" s="178"/>
      <c r="AP875" s="178"/>
      <c r="AQ875" s="178"/>
      <c r="AR875" s="178"/>
      <c r="AS875" s="178"/>
    </row>
    <row r="876" spans="1:45" s="21" customFormat="1" x14ac:dyDescent="0.4">
      <c r="A876" s="27"/>
      <c r="B876" s="645"/>
      <c r="C876" s="645"/>
      <c r="D876" s="131" t="s">
        <v>44</v>
      </c>
      <c r="F876" s="178"/>
      <c r="G876" s="178"/>
      <c r="H876" s="127"/>
      <c r="I876" s="178"/>
      <c r="J876" s="178"/>
      <c r="K876" s="178"/>
      <c r="L876" s="178"/>
      <c r="M876" s="178"/>
      <c r="N876" s="178"/>
      <c r="O876" s="178"/>
      <c r="P876" s="178"/>
      <c r="Q876" s="178"/>
      <c r="R876" s="178"/>
      <c r="S876" s="178"/>
      <c r="T876" s="178"/>
      <c r="U876" s="178"/>
      <c r="V876" s="410"/>
      <c r="Z876" s="178"/>
      <c r="AA876" s="178"/>
      <c r="AB876" s="178"/>
      <c r="AC876" s="178"/>
      <c r="AD876" s="178"/>
      <c r="AE876" s="178"/>
      <c r="AF876" s="178"/>
      <c r="AG876" s="178"/>
      <c r="AH876" s="178"/>
      <c r="AI876" s="178"/>
      <c r="AJ876" s="178"/>
      <c r="AK876" s="178"/>
      <c r="AL876" s="178"/>
      <c r="AM876" s="178"/>
      <c r="AN876" s="178"/>
      <c r="AO876" s="178"/>
      <c r="AP876" s="178"/>
      <c r="AQ876" s="178"/>
      <c r="AR876" s="178"/>
      <c r="AS876" s="178"/>
    </row>
    <row r="877" spans="1:45" s="21" customFormat="1" x14ac:dyDescent="0.4">
      <c r="A877" s="27"/>
      <c r="B877" s="645"/>
      <c r="C877" s="645"/>
      <c r="D877" s="131" t="s">
        <v>44</v>
      </c>
      <c r="F877" s="178"/>
      <c r="G877" s="178"/>
      <c r="H877" s="127"/>
      <c r="I877" s="178"/>
      <c r="J877" s="178"/>
      <c r="K877" s="178"/>
      <c r="L877" s="178"/>
      <c r="M877" s="178"/>
      <c r="N877" s="178"/>
      <c r="O877" s="178"/>
      <c r="P877" s="178"/>
      <c r="Q877" s="178"/>
      <c r="R877" s="178"/>
      <c r="S877" s="178"/>
      <c r="T877" s="178"/>
      <c r="U877" s="178"/>
      <c r="V877" s="410"/>
      <c r="Z877" s="178"/>
      <c r="AA877" s="178"/>
      <c r="AB877" s="178"/>
      <c r="AC877" s="178"/>
      <c r="AD877" s="178"/>
      <c r="AE877" s="178"/>
      <c r="AF877" s="178"/>
      <c r="AG877" s="178"/>
      <c r="AH877" s="178"/>
      <c r="AI877" s="178"/>
      <c r="AJ877" s="178"/>
      <c r="AK877" s="178"/>
      <c r="AL877" s="178"/>
      <c r="AM877" s="178"/>
      <c r="AN877" s="178"/>
      <c r="AO877" s="178"/>
      <c r="AP877" s="178"/>
      <c r="AQ877" s="178"/>
      <c r="AR877" s="178"/>
      <c r="AS877" s="178"/>
    </row>
    <row r="878" spans="1:45" s="21" customFormat="1" x14ac:dyDescent="0.4">
      <c r="A878" s="27"/>
      <c r="B878" s="645"/>
      <c r="C878" s="645"/>
      <c r="D878" s="131" t="s">
        <v>44</v>
      </c>
      <c r="F878" s="178"/>
      <c r="G878" s="178"/>
      <c r="H878" s="127"/>
      <c r="I878" s="178"/>
      <c r="J878" s="178"/>
      <c r="K878" s="178"/>
      <c r="L878" s="178"/>
      <c r="M878" s="178"/>
      <c r="N878" s="178"/>
      <c r="O878" s="178"/>
      <c r="P878" s="178"/>
      <c r="Q878" s="178"/>
      <c r="R878" s="178"/>
      <c r="S878" s="178"/>
      <c r="T878" s="178"/>
      <c r="U878" s="178"/>
      <c r="V878" s="410"/>
      <c r="Z878" s="178"/>
      <c r="AA878" s="178"/>
      <c r="AB878" s="178"/>
      <c r="AC878" s="178"/>
      <c r="AD878" s="178"/>
      <c r="AE878" s="178"/>
      <c r="AF878" s="178"/>
      <c r="AG878" s="178"/>
      <c r="AH878" s="178"/>
      <c r="AI878" s="178"/>
      <c r="AJ878" s="178"/>
      <c r="AK878" s="178"/>
      <c r="AL878" s="178"/>
      <c r="AM878" s="178"/>
      <c r="AN878" s="178"/>
      <c r="AO878" s="178"/>
      <c r="AP878" s="178"/>
      <c r="AQ878" s="178"/>
      <c r="AR878" s="178"/>
      <c r="AS878" s="178"/>
    </row>
    <row r="879" spans="1:45" s="21" customFormat="1" x14ac:dyDescent="0.4">
      <c r="A879" s="27"/>
      <c r="B879" s="645"/>
      <c r="C879" s="645"/>
      <c r="D879" s="131" t="s">
        <v>44</v>
      </c>
      <c r="F879" s="178"/>
      <c r="G879" s="178"/>
      <c r="H879" s="127"/>
      <c r="I879" s="178"/>
      <c r="J879" s="178"/>
      <c r="K879" s="178"/>
      <c r="L879" s="178"/>
      <c r="M879" s="178"/>
      <c r="N879" s="178"/>
      <c r="O879" s="178"/>
      <c r="P879" s="178"/>
      <c r="Q879" s="178"/>
      <c r="R879" s="178"/>
      <c r="S879" s="178"/>
      <c r="T879" s="178"/>
      <c r="U879" s="178"/>
      <c r="V879" s="410"/>
      <c r="Z879" s="178"/>
      <c r="AA879" s="178"/>
      <c r="AB879" s="178"/>
      <c r="AC879" s="178"/>
      <c r="AD879" s="178"/>
      <c r="AE879" s="178"/>
      <c r="AF879" s="178"/>
      <c r="AG879" s="178"/>
      <c r="AH879" s="178"/>
      <c r="AI879" s="178"/>
      <c r="AJ879" s="178"/>
      <c r="AK879" s="178"/>
      <c r="AL879" s="178"/>
      <c r="AM879" s="178"/>
      <c r="AN879" s="178"/>
      <c r="AO879" s="178"/>
      <c r="AP879" s="178"/>
      <c r="AQ879" s="178"/>
      <c r="AR879" s="178"/>
      <c r="AS879" s="178"/>
    </row>
    <row r="880" spans="1:45" s="21" customFormat="1" x14ac:dyDescent="0.4">
      <c r="A880" s="27"/>
      <c r="B880" s="645"/>
      <c r="C880" s="645"/>
      <c r="D880" s="131" t="s">
        <v>44</v>
      </c>
      <c r="F880" s="178"/>
      <c r="G880" s="178"/>
      <c r="H880" s="127"/>
      <c r="I880" s="178"/>
      <c r="J880" s="178"/>
      <c r="K880" s="178"/>
      <c r="L880" s="178"/>
      <c r="M880" s="178"/>
      <c r="N880" s="178"/>
      <c r="O880" s="178"/>
      <c r="P880" s="178"/>
      <c r="Q880" s="178"/>
      <c r="R880" s="178"/>
      <c r="S880" s="178"/>
      <c r="T880" s="178"/>
      <c r="U880" s="178"/>
      <c r="V880" s="410"/>
      <c r="Z880" s="178"/>
      <c r="AA880" s="178"/>
      <c r="AB880" s="178"/>
      <c r="AC880" s="178"/>
      <c r="AD880" s="178"/>
      <c r="AE880" s="178"/>
      <c r="AF880" s="178"/>
      <c r="AG880" s="178"/>
      <c r="AH880" s="178"/>
      <c r="AI880" s="178"/>
      <c r="AJ880" s="178"/>
      <c r="AK880" s="178"/>
      <c r="AL880" s="178"/>
      <c r="AM880" s="178"/>
      <c r="AN880" s="178"/>
      <c r="AO880" s="178"/>
      <c r="AP880" s="178"/>
      <c r="AQ880" s="178"/>
      <c r="AR880" s="178"/>
      <c r="AS880" s="178"/>
    </row>
    <row r="881" spans="1:45" s="21" customFormat="1" x14ac:dyDescent="0.4">
      <c r="A881" s="27"/>
      <c r="B881" s="645"/>
      <c r="C881" s="645"/>
      <c r="D881" s="131"/>
      <c r="F881" s="178"/>
      <c r="G881" s="178"/>
      <c r="H881" s="127"/>
      <c r="I881" s="178"/>
      <c r="J881" s="178"/>
      <c r="K881" s="178"/>
      <c r="L881" s="178"/>
      <c r="M881" s="178"/>
      <c r="N881" s="178"/>
      <c r="O881" s="178"/>
      <c r="P881" s="178"/>
      <c r="Q881" s="178"/>
      <c r="R881" s="178"/>
      <c r="S881" s="178"/>
      <c r="T881" s="178"/>
      <c r="U881" s="178"/>
      <c r="V881" s="410"/>
      <c r="Z881" s="178"/>
      <c r="AA881" s="178"/>
      <c r="AB881" s="178"/>
      <c r="AC881" s="178"/>
      <c r="AD881" s="178"/>
      <c r="AE881" s="178"/>
      <c r="AF881" s="178"/>
      <c r="AG881" s="178"/>
      <c r="AH881" s="178"/>
      <c r="AI881" s="178"/>
      <c r="AJ881" s="178"/>
      <c r="AK881" s="178"/>
      <c r="AL881" s="178"/>
      <c r="AM881" s="178"/>
      <c r="AN881" s="178"/>
      <c r="AO881" s="178"/>
      <c r="AP881" s="178"/>
      <c r="AQ881" s="178"/>
      <c r="AR881" s="178"/>
      <c r="AS881" s="178"/>
    </row>
    <row r="882" spans="1:45" s="757" customFormat="1" ht="27" customHeight="1" x14ac:dyDescent="0.4">
      <c r="A882" s="756"/>
      <c r="B882" s="756"/>
      <c r="C882" s="756"/>
      <c r="E882" s="757" t="str">
        <f>UPPER('Talnagögn | Numerical Data'!$E$14)</f>
        <v>LOSUNARSPÁ: SVIÐSMYND BYGGÐ Á AÐGERÐUM STJÓRNVALDA</v>
      </c>
      <c r="F882" s="758"/>
      <c r="G882" s="758"/>
      <c r="H882" s="758"/>
      <c r="I882" s="758"/>
      <c r="J882" s="758"/>
      <c r="K882" s="758"/>
      <c r="L882" s="758"/>
      <c r="M882" s="758"/>
      <c r="N882" s="758"/>
      <c r="O882" s="758"/>
      <c r="P882" s="758"/>
      <c r="Q882" s="758"/>
      <c r="R882" s="758"/>
      <c r="S882" s="758"/>
      <c r="T882" s="758"/>
      <c r="U882" s="758"/>
      <c r="V882" s="759"/>
      <c r="Y882" s="757" t="str">
        <f>UPPER('Talnagögn | Numerical Data'!$G$14)</f>
        <v>EMISSION PROJECTIONS: GOVERNMENT POLICY-BASED SCENARIO</v>
      </c>
      <c r="Z882" s="758"/>
      <c r="AA882" s="758"/>
      <c r="AB882" s="758"/>
      <c r="AC882" s="758"/>
      <c r="AD882" s="758"/>
      <c r="AE882" s="758"/>
      <c r="AF882" s="758"/>
      <c r="AG882" s="758"/>
      <c r="AH882" s="758"/>
      <c r="AI882" s="758"/>
      <c r="AJ882" s="758"/>
      <c r="AK882" s="758"/>
      <c r="AL882" s="758"/>
      <c r="AM882" s="758"/>
      <c r="AN882" s="758"/>
      <c r="AO882" s="758"/>
      <c r="AP882" s="758"/>
      <c r="AQ882" s="758"/>
      <c r="AR882" s="758"/>
      <c r="AS882" s="758"/>
    </row>
    <row r="883" spans="1:45" s="21" customFormat="1" x14ac:dyDescent="0.4">
      <c r="A883" s="27"/>
      <c r="B883" s="645"/>
      <c r="C883" s="645"/>
      <c r="D883" s="131" t="s">
        <v>44</v>
      </c>
      <c r="F883" s="178"/>
      <c r="G883" s="178"/>
      <c r="H883" s="127"/>
      <c r="I883" s="178"/>
      <c r="J883" s="178"/>
      <c r="K883" s="178"/>
      <c r="L883" s="178"/>
      <c r="M883" s="178"/>
      <c r="N883" s="178"/>
      <c r="O883" s="178"/>
      <c r="P883" s="178"/>
      <c r="Q883" s="178"/>
      <c r="R883" s="178"/>
      <c r="S883" s="178"/>
      <c r="T883" s="178"/>
      <c r="U883" s="178"/>
      <c r="V883" s="410"/>
      <c r="Z883" s="178"/>
      <c r="AA883" s="178"/>
      <c r="AB883" s="178"/>
      <c r="AC883" s="178"/>
      <c r="AD883" s="178"/>
      <c r="AE883" s="178"/>
      <c r="AF883" s="178"/>
      <c r="AG883" s="178"/>
      <c r="AH883" s="178"/>
      <c r="AI883" s="178"/>
      <c r="AJ883" s="178"/>
      <c r="AK883" s="178"/>
      <c r="AL883" s="178"/>
      <c r="AM883" s="178"/>
      <c r="AN883" s="178"/>
      <c r="AO883" s="178"/>
      <c r="AP883" s="178"/>
      <c r="AQ883" s="178"/>
      <c r="AR883" s="178"/>
      <c r="AS883" s="178"/>
    </row>
    <row r="884" spans="1:45" s="21" customFormat="1" x14ac:dyDescent="0.4">
      <c r="A884" s="27"/>
      <c r="B884" s="645"/>
      <c r="C884" s="645"/>
      <c r="D884" s="131" t="s">
        <v>44</v>
      </c>
      <c r="F884" s="178"/>
      <c r="G884" s="178"/>
      <c r="H884" s="127"/>
      <c r="I884" s="178"/>
      <c r="J884" s="178"/>
      <c r="K884" s="178"/>
      <c r="L884" s="178"/>
      <c r="M884" s="178"/>
      <c r="N884" s="178"/>
      <c r="O884" s="178"/>
      <c r="P884" s="178"/>
      <c r="Q884" s="178"/>
      <c r="R884" s="178"/>
      <c r="S884" s="178"/>
      <c r="T884" s="178"/>
      <c r="U884" s="178"/>
      <c r="V884" s="410"/>
      <c r="Z884" s="178"/>
      <c r="AA884" s="178"/>
      <c r="AB884" s="178"/>
      <c r="AC884" s="178"/>
      <c r="AD884" s="178"/>
      <c r="AE884" s="178"/>
      <c r="AF884" s="178"/>
      <c r="AG884" s="178"/>
      <c r="AH884" s="178"/>
      <c r="AI884" s="178"/>
      <c r="AJ884" s="178"/>
      <c r="AK884" s="178"/>
      <c r="AL884" s="178"/>
      <c r="AM884" s="178"/>
      <c r="AN884" s="178"/>
      <c r="AO884" s="178"/>
      <c r="AP884" s="178"/>
      <c r="AQ884" s="178"/>
      <c r="AR884" s="178"/>
      <c r="AS884" s="178"/>
    </row>
    <row r="885" spans="1:45" s="21" customFormat="1" ht="13.5" customHeight="1" x14ac:dyDescent="0.4">
      <c r="A885" s="27"/>
      <c r="B885" s="648"/>
      <c r="C885" s="648"/>
      <c r="D885" s="131" t="s">
        <v>44</v>
      </c>
      <c r="E885" s="132"/>
      <c r="F885" s="115"/>
      <c r="G885" s="115"/>
      <c r="H885" s="115"/>
      <c r="I885" s="115"/>
      <c r="J885" s="115"/>
      <c r="K885" s="115"/>
      <c r="L885" s="115"/>
      <c r="M885" s="115"/>
      <c r="N885" s="115"/>
      <c r="O885" s="115"/>
      <c r="P885" s="115"/>
      <c r="Q885" s="115"/>
      <c r="R885" s="178"/>
      <c r="S885" s="178"/>
      <c r="T885" s="178"/>
      <c r="U885" s="178"/>
      <c r="V885" s="410"/>
      <c r="Z885" s="178"/>
      <c r="AA885" s="178"/>
      <c r="AB885" s="178"/>
      <c r="AC885" s="178"/>
      <c r="AD885" s="178"/>
      <c r="AE885" s="178"/>
      <c r="AF885" s="178"/>
      <c r="AG885" s="178"/>
      <c r="AH885" s="178"/>
      <c r="AI885" s="178"/>
      <c r="AJ885" s="178"/>
      <c r="AK885" s="178"/>
      <c r="AL885" s="178"/>
      <c r="AM885" s="178"/>
      <c r="AN885" s="178"/>
      <c r="AO885" s="178"/>
      <c r="AP885" s="178"/>
      <c r="AQ885" s="178"/>
      <c r="AR885" s="178"/>
      <c r="AS885" s="178"/>
    </row>
    <row r="886" spans="1:45" s="21" customFormat="1" x14ac:dyDescent="0.4">
      <c r="A886" s="27"/>
      <c r="B886" s="645"/>
      <c r="C886" s="645"/>
      <c r="D886" s="131" t="s">
        <v>44</v>
      </c>
      <c r="F886" s="178"/>
      <c r="G886" s="178"/>
      <c r="H886" s="127"/>
      <c r="I886" s="178"/>
      <c r="J886" s="178"/>
      <c r="K886" s="178"/>
      <c r="L886" s="178"/>
      <c r="M886" s="178"/>
      <c r="N886" s="178"/>
      <c r="O886" s="178"/>
      <c r="P886" s="178"/>
      <c r="Q886" s="178"/>
      <c r="R886" s="178"/>
      <c r="S886" s="178"/>
      <c r="T886" s="178"/>
      <c r="U886" s="178"/>
      <c r="V886" s="410"/>
      <c r="Z886" s="178"/>
      <c r="AA886" s="178"/>
      <c r="AB886" s="178"/>
      <c r="AC886" s="178"/>
      <c r="AD886" s="178"/>
      <c r="AE886" s="178"/>
      <c r="AF886" s="178"/>
      <c r="AG886" s="178"/>
      <c r="AH886" s="178"/>
      <c r="AI886" s="178"/>
      <c r="AJ886" s="178"/>
      <c r="AK886" s="178"/>
      <c r="AL886" s="178"/>
      <c r="AM886" s="178"/>
      <c r="AN886" s="178"/>
      <c r="AO886" s="178"/>
      <c r="AP886" s="178"/>
      <c r="AQ886" s="178"/>
      <c r="AR886" s="178"/>
      <c r="AS886" s="178"/>
    </row>
    <row r="887" spans="1:45" s="21" customFormat="1" x14ac:dyDescent="0.4">
      <c r="A887" s="27"/>
      <c r="B887" s="645"/>
      <c r="C887" s="645"/>
      <c r="D887" s="131" t="s">
        <v>44</v>
      </c>
      <c r="F887" s="178"/>
      <c r="G887" s="178"/>
      <c r="H887" s="127"/>
      <c r="I887" s="178"/>
      <c r="J887" s="178"/>
      <c r="K887" s="178"/>
      <c r="L887" s="178"/>
      <c r="M887" s="178"/>
      <c r="N887" s="178"/>
      <c r="O887" s="178"/>
      <c r="P887" s="178"/>
      <c r="Q887" s="178"/>
      <c r="R887" s="178"/>
      <c r="S887" s="178"/>
      <c r="T887" s="178"/>
      <c r="U887" s="178"/>
      <c r="V887" s="410"/>
      <c r="Z887" s="178"/>
      <c r="AA887" s="178"/>
      <c r="AB887" s="178"/>
      <c r="AC887" s="178"/>
      <c r="AD887" s="178"/>
      <c r="AE887" s="178"/>
      <c r="AF887" s="178"/>
      <c r="AG887" s="178"/>
      <c r="AH887" s="178"/>
      <c r="AI887" s="178"/>
      <c r="AJ887" s="178"/>
      <c r="AK887" s="178"/>
      <c r="AL887" s="178"/>
      <c r="AM887" s="178"/>
      <c r="AN887" s="178"/>
      <c r="AO887" s="178"/>
      <c r="AP887" s="178"/>
      <c r="AQ887" s="178"/>
      <c r="AR887" s="178"/>
      <c r="AS887" s="178"/>
    </row>
    <row r="888" spans="1:45" x14ac:dyDescent="0.4">
      <c r="V888" s="162"/>
    </row>
    <row r="889" spans="1:45" x14ac:dyDescent="0.4">
      <c r="V889" s="162"/>
    </row>
    <row r="890" spans="1:45" x14ac:dyDescent="0.4">
      <c r="V890" s="162"/>
    </row>
    <row r="891" spans="1:45" x14ac:dyDescent="0.4">
      <c r="V891" s="162"/>
    </row>
    <row r="892" spans="1:45" x14ac:dyDescent="0.4">
      <c r="V892" s="162"/>
    </row>
    <row r="893" spans="1:45" x14ac:dyDescent="0.4">
      <c r="V893" s="162"/>
    </row>
    <row r="894" spans="1:45" x14ac:dyDescent="0.4">
      <c r="V894" s="162"/>
    </row>
    <row r="895" spans="1:45" x14ac:dyDescent="0.4">
      <c r="V895" s="162"/>
    </row>
    <row r="896" spans="1:45" x14ac:dyDescent="0.4">
      <c r="V896" s="162"/>
    </row>
    <row r="897" spans="22:38" x14ac:dyDescent="0.4">
      <c r="V897" s="162"/>
    </row>
    <row r="898" spans="22:38" x14ac:dyDescent="0.4">
      <c r="V898" s="162"/>
    </row>
    <row r="899" spans="22:38" x14ac:dyDescent="0.4">
      <c r="V899" s="162"/>
    </row>
    <row r="900" spans="22:38" x14ac:dyDescent="0.4">
      <c r="V900" s="162"/>
    </row>
    <row r="901" spans="22:38" x14ac:dyDescent="0.4">
      <c r="V901" s="162"/>
    </row>
    <row r="902" spans="22:38" x14ac:dyDescent="0.4">
      <c r="V902" s="162"/>
    </row>
    <row r="903" spans="22:38" x14ac:dyDescent="0.4">
      <c r="V903" s="162"/>
    </row>
    <row r="904" spans="22:38" x14ac:dyDescent="0.4">
      <c r="V904" s="162"/>
    </row>
    <row r="905" spans="22:38" x14ac:dyDescent="0.4">
      <c r="V905" s="162"/>
    </row>
    <row r="906" spans="22:38" s="91" customFormat="1" ht="15" customHeight="1" thickBot="1" x14ac:dyDescent="0.45">
      <c r="V906" s="927"/>
      <c r="W906" s="776"/>
      <c r="AL906" s="698"/>
    </row>
    <row r="907" spans="22:38" ht="17.399999999999999" thickTop="1" x14ac:dyDescent="0.4">
      <c r="V907" s="928"/>
    </row>
  </sheetData>
  <mergeCells count="208">
    <mergeCell ref="E831:E833"/>
    <mergeCell ref="O831:O833"/>
    <mergeCell ref="P831:S831"/>
    <mergeCell ref="Y831:Y833"/>
    <mergeCell ref="AI831:AI833"/>
    <mergeCell ref="AJ831:AM831"/>
    <mergeCell ref="F832:G832"/>
    <mergeCell ref="H832:I832"/>
    <mergeCell ref="J832:K832"/>
    <mergeCell ref="L832:M832"/>
    <mergeCell ref="P832:Q832"/>
    <mergeCell ref="R832:S832"/>
    <mergeCell ref="Z832:AA832"/>
    <mergeCell ref="AB832:AC832"/>
    <mergeCell ref="AD832:AE832"/>
    <mergeCell ref="AF832:AG832"/>
    <mergeCell ref="AJ832:AK832"/>
    <mergeCell ref="AL832:AM832"/>
    <mergeCell ref="E726:E728"/>
    <mergeCell ref="O726:O728"/>
    <mergeCell ref="P726:S726"/>
    <mergeCell ref="Y726:Y728"/>
    <mergeCell ref="AI726:AI728"/>
    <mergeCell ref="AJ726:AM726"/>
    <mergeCell ref="F727:G727"/>
    <mergeCell ref="H727:I727"/>
    <mergeCell ref="J727:K727"/>
    <mergeCell ref="L727:M727"/>
    <mergeCell ref="P727:Q727"/>
    <mergeCell ref="R727:S727"/>
    <mergeCell ref="Z727:AA727"/>
    <mergeCell ref="AB727:AC727"/>
    <mergeCell ref="AD727:AE727"/>
    <mergeCell ref="AF727:AG727"/>
    <mergeCell ref="AJ727:AK727"/>
    <mergeCell ref="AL727:AM727"/>
    <mergeCell ref="Y621:Y623"/>
    <mergeCell ref="AI621:AI623"/>
    <mergeCell ref="AJ621:AM621"/>
    <mergeCell ref="Z622:AA622"/>
    <mergeCell ref="AB622:AC622"/>
    <mergeCell ref="AD622:AE622"/>
    <mergeCell ref="AF622:AG622"/>
    <mergeCell ref="AJ622:AK622"/>
    <mergeCell ref="AL622:AM622"/>
    <mergeCell ref="E621:E623"/>
    <mergeCell ref="O621:O623"/>
    <mergeCell ref="P621:S621"/>
    <mergeCell ref="F622:G622"/>
    <mergeCell ref="H622:I622"/>
    <mergeCell ref="J622:K622"/>
    <mergeCell ref="L622:M622"/>
    <mergeCell ref="P622:Q622"/>
    <mergeCell ref="R622:S622"/>
    <mergeCell ref="AI463:AI465"/>
    <mergeCell ref="AJ463:AM463"/>
    <mergeCell ref="Z464:AA464"/>
    <mergeCell ref="AB464:AC464"/>
    <mergeCell ref="AD464:AE464"/>
    <mergeCell ref="AF464:AG464"/>
    <mergeCell ref="AJ464:AK464"/>
    <mergeCell ref="AL464:AM464"/>
    <mergeCell ref="AI484:AI486"/>
    <mergeCell ref="AJ484:AM484"/>
    <mergeCell ref="AI359:AI361"/>
    <mergeCell ref="AJ359:AM359"/>
    <mergeCell ref="Z360:AA360"/>
    <mergeCell ref="AB360:AC360"/>
    <mergeCell ref="AD360:AE360"/>
    <mergeCell ref="AF360:AG360"/>
    <mergeCell ref="AJ360:AK360"/>
    <mergeCell ref="AL360:AM360"/>
    <mergeCell ref="E484:E486"/>
    <mergeCell ref="O484:O486"/>
    <mergeCell ref="P484:S484"/>
    <mergeCell ref="F485:G485"/>
    <mergeCell ref="H485:I485"/>
    <mergeCell ref="J485:K485"/>
    <mergeCell ref="L485:M485"/>
    <mergeCell ref="P485:Q485"/>
    <mergeCell ref="R485:S485"/>
    <mergeCell ref="Z485:AA485"/>
    <mergeCell ref="AB485:AC485"/>
    <mergeCell ref="AD485:AE485"/>
    <mergeCell ref="AF485:AG485"/>
    <mergeCell ref="AJ485:AK485"/>
    <mergeCell ref="AL485:AM485"/>
    <mergeCell ref="F360:G360"/>
    <mergeCell ref="H360:I360"/>
    <mergeCell ref="J360:K360"/>
    <mergeCell ref="L360:M360"/>
    <mergeCell ref="P360:Q360"/>
    <mergeCell ref="R360:S360"/>
    <mergeCell ref="O463:O465"/>
    <mergeCell ref="P463:S463"/>
    <mergeCell ref="F464:G464"/>
    <mergeCell ref="H464:I464"/>
    <mergeCell ref="J464:K464"/>
    <mergeCell ref="L464:M464"/>
    <mergeCell ref="P464:Q464"/>
    <mergeCell ref="Z246:AA246"/>
    <mergeCell ref="AB246:AC246"/>
    <mergeCell ref="AD246:AE246"/>
    <mergeCell ref="AF246:AG246"/>
    <mergeCell ref="AJ246:AK246"/>
    <mergeCell ref="AL246:AM246"/>
    <mergeCell ref="E245:E247"/>
    <mergeCell ref="O245:O247"/>
    <mergeCell ref="P245:S245"/>
    <mergeCell ref="F246:G246"/>
    <mergeCell ref="H246:I246"/>
    <mergeCell ref="J246:K246"/>
    <mergeCell ref="L246:M246"/>
    <mergeCell ref="P246:Q246"/>
    <mergeCell ref="R246:S246"/>
    <mergeCell ref="Y245:Y247"/>
    <mergeCell ref="AI245:AI247"/>
    <mergeCell ref="AJ245:AM245"/>
    <mergeCell ref="Y5:Y7"/>
    <mergeCell ref="AI5:AI7"/>
    <mergeCell ref="AJ5:AM5"/>
    <mergeCell ref="Z6:AA6"/>
    <mergeCell ref="AB6:AC6"/>
    <mergeCell ref="AD6:AE6"/>
    <mergeCell ref="AF6:AG6"/>
    <mergeCell ref="AJ6:AK6"/>
    <mergeCell ref="AL6:AM6"/>
    <mergeCell ref="R18:S18"/>
    <mergeCell ref="Y17:Y19"/>
    <mergeCell ref="AI17:AI19"/>
    <mergeCell ref="AJ17:AM17"/>
    <mergeCell ref="Z18:AA18"/>
    <mergeCell ref="AB18:AC18"/>
    <mergeCell ref="AD18:AE18"/>
    <mergeCell ref="AF18:AG18"/>
    <mergeCell ref="AJ18:AK18"/>
    <mergeCell ref="AL18:AM18"/>
    <mergeCell ref="R146:S146"/>
    <mergeCell ref="R257:S257"/>
    <mergeCell ref="R258:S258"/>
    <mergeCell ref="R260:S260"/>
    <mergeCell ref="R261:S261"/>
    <mergeCell ref="R262:S262"/>
    <mergeCell ref="Y463:Y465"/>
    <mergeCell ref="E5:E7"/>
    <mergeCell ref="F6:G6"/>
    <mergeCell ref="H6:I6"/>
    <mergeCell ref="J6:K6"/>
    <mergeCell ref="L6:M6"/>
    <mergeCell ref="O5:O7"/>
    <mergeCell ref="R6:S6"/>
    <mergeCell ref="P6:Q6"/>
    <mergeCell ref="P5:S5"/>
    <mergeCell ref="E17:E19"/>
    <mergeCell ref="F18:G18"/>
    <mergeCell ref="H18:I18"/>
    <mergeCell ref="J18:K18"/>
    <mergeCell ref="L18:M18"/>
    <mergeCell ref="O17:O19"/>
    <mergeCell ref="P17:S17"/>
    <mergeCell ref="P18:Q18"/>
    <mergeCell ref="Y484:Y486"/>
    <mergeCell ref="R464:S464"/>
    <mergeCell ref="Y359:Y361"/>
    <mergeCell ref="E359:E361"/>
    <mergeCell ref="O359:O361"/>
    <mergeCell ref="P359:S359"/>
    <mergeCell ref="AI145:AI147"/>
    <mergeCell ref="AJ145:AM145"/>
    <mergeCell ref="Z146:AA146"/>
    <mergeCell ref="AB146:AC146"/>
    <mergeCell ref="AD146:AE146"/>
    <mergeCell ref="AF146:AG146"/>
    <mergeCell ref="AJ146:AK146"/>
    <mergeCell ref="AL146:AM146"/>
    <mergeCell ref="E463:E465"/>
    <mergeCell ref="Y145:Y147"/>
    <mergeCell ref="E145:E147"/>
    <mergeCell ref="O145:O147"/>
    <mergeCell ref="P145:S145"/>
    <mergeCell ref="F146:G146"/>
    <mergeCell ref="H146:I146"/>
    <mergeCell ref="J146:K146"/>
    <mergeCell ref="L146:M146"/>
    <mergeCell ref="P146:Q146"/>
    <mergeCell ref="AN145:AS145"/>
    <mergeCell ref="AN146:AP146"/>
    <mergeCell ref="AQ146:AS146"/>
    <mergeCell ref="AN147:AO147"/>
    <mergeCell ref="AQ147:AR147"/>
    <mergeCell ref="AN151:AO151"/>
    <mergeCell ref="AQ151:AR151"/>
    <mergeCell ref="AN149:AO149"/>
    <mergeCell ref="AQ149:AR149"/>
    <mergeCell ref="AN156:AO156"/>
    <mergeCell ref="AQ156:AR156"/>
    <mergeCell ref="AN154:AO154"/>
    <mergeCell ref="AQ154:AR154"/>
    <mergeCell ref="AN148:AO148"/>
    <mergeCell ref="AQ148:AR148"/>
    <mergeCell ref="AN152:AO152"/>
    <mergeCell ref="AQ152:AR152"/>
    <mergeCell ref="AN150:AO150"/>
    <mergeCell ref="AQ150:AR150"/>
    <mergeCell ref="AN153:AO153"/>
    <mergeCell ref="AQ153:AR153"/>
    <mergeCell ref="AN155:AO155"/>
    <mergeCell ref="AQ155:AR155"/>
  </mergeCells>
  <conditionalFormatting sqref="A469:A470 A906:XFD906">
    <cfRule type="cellIs" dxfId="83" priority="4" operator="equal">
      <formula>0</formula>
    </cfRule>
  </conditionalFormatting>
  <conditionalFormatting sqref="B470:C470">
    <cfRule type="cellIs" dxfId="82" priority="3" operator="equal">
      <formula>0</formula>
    </cfRule>
  </conditionalFormatting>
  <conditionalFormatting sqref="F624:G624">
    <cfRule type="cellIs" dxfId="81" priority="1171" operator="equal">
      <formula>0</formula>
    </cfRule>
  </conditionalFormatting>
  <conditionalFormatting sqref="F362:M366 Z362:AG366 F466:G472 R466:S472 Z466:AA472 AL466:AM472 F488:M488">
    <cfRule type="cellIs" dxfId="80" priority="1172" operator="equal">
      <formula>0</formula>
    </cfRule>
  </conditionalFormatting>
  <conditionalFormatting sqref="P362:S366">
    <cfRule type="cellIs" dxfId="79" priority="51" operator="equal">
      <formula>0</formula>
    </cfRule>
  </conditionalFormatting>
  <conditionalFormatting sqref="Z624:AA624">
    <cfRule type="cellIs" dxfId="78" priority="1" operator="equal">
      <formula>0</formula>
    </cfRule>
  </conditionalFormatting>
  <conditionalFormatting sqref="Z488:AG488">
    <cfRule type="cellIs" dxfId="77" priority="2" operator="equal">
      <formula>0</formula>
    </cfRule>
  </conditionalFormatting>
  <conditionalFormatting sqref="AJ362:AM366">
    <cfRule type="cellIs" dxfId="76" priority="49" operator="equal">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2ECC0-E09F-4E5E-A912-B92383407C1E}">
  <sheetPr>
    <tabColor theme="0"/>
  </sheetPr>
  <dimension ref="A1:CJ365"/>
  <sheetViews>
    <sheetView zoomScale="70" zoomScaleNormal="70" workbookViewId="0">
      <pane xSplit="8" ySplit="1" topLeftCell="I2" activePane="bottomRight" state="frozen"/>
      <selection pane="topRight" activeCell="J1" sqref="J1"/>
      <selection pane="bottomLeft" activeCell="A2" sqref="A2"/>
      <selection pane="bottomRight" activeCell="E127" sqref="E127"/>
    </sheetView>
  </sheetViews>
  <sheetFormatPr defaultColWidth="7.5" defaultRowHeight="16.8" x14ac:dyDescent="0.4"/>
  <cols>
    <col min="1" max="1" width="7.69921875" style="852" hidden="1" customWidth="1"/>
    <col min="2" max="2" width="15.19921875" style="842" hidden="1" customWidth="1"/>
    <col min="3" max="3" width="11.69921875" style="1002" hidden="1" customWidth="1"/>
    <col min="4" max="4" width="7" style="835" hidden="1" customWidth="1"/>
    <col min="5" max="5" width="51.69921875" style="58" customWidth="1"/>
    <col min="6" max="6" width="29.3984375" style="1018" customWidth="1"/>
    <col min="7" max="7" width="60.69921875" style="60" customWidth="1"/>
    <col min="8" max="8" width="34.09765625" style="1018" customWidth="1"/>
    <col min="9" max="23" width="8.59765625" style="60" customWidth="1"/>
    <col min="24" max="24" width="8.59765625" style="77" customWidth="1"/>
    <col min="25" max="31" width="8.59765625" style="60" customWidth="1"/>
    <col min="32" max="37" width="8.09765625" style="60" customWidth="1"/>
    <col min="38" max="43" width="8.09765625" style="50" customWidth="1"/>
    <col min="44" max="48" width="8.69921875" style="50" customWidth="1"/>
    <col min="49" max="49" width="11" style="694" customWidth="1"/>
    <col min="50" max="53" width="8.69921875" style="50" customWidth="1"/>
    <col min="54" max="54" width="8.69921875" style="794" customWidth="1"/>
    <col min="55" max="73" width="8.69921875" style="50" customWidth="1"/>
    <col min="74" max="74" width="8.69921875" style="794" customWidth="1"/>
    <col min="75" max="16384" width="7.5" style="5"/>
  </cols>
  <sheetData>
    <row r="1" spans="1:74" s="342" customFormat="1" ht="37.200000000000003" customHeight="1" x14ac:dyDescent="0.4">
      <c r="A1" s="850"/>
      <c r="B1" s="830"/>
      <c r="C1" s="865"/>
      <c r="D1" s="886"/>
      <c r="E1" s="1067" t="s">
        <v>470</v>
      </c>
      <c r="F1" s="1004"/>
      <c r="G1" s="340"/>
      <c r="H1" s="1004"/>
      <c r="I1" s="341">
        <v>1990</v>
      </c>
      <c r="J1" s="341">
        <v>1991</v>
      </c>
      <c r="K1" s="341">
        <v>1992</v>
      </c>
      <c r="L1" s="341">
        <v>1993</v>
      </c>
      <c r="M1" s="341">
        <v>1994</v>
      </c>
      <c r="N1" s="341">
        <v>1995</v>
      </c>
      <c r="O1" s="341">
        <v>1996</v>
      </c>
      <c r="P1" s="341">
        <v>1997</v>
      </c>
      <c r="Q1" s="341">
        <v>1998</v>
      </c>
      <c r="R1" s="341">
        <v>1999</v>
      </c>
      <c r="S1" s="341">
        <v>2000</v>
      </c>
      <c r="T1" s="341">
        <v>2001</v>
      </c>
      <c r="U1" s="341">
        <v>2002</v>
      </c>
      <c r="V1" s="341">
        <v>2003</v>
      </c>
      <c r="W1" s="341">
        <v>2004</v>
      </c>
      <c r="X1" s="686">
        <v>2005</v>
      </c>
      <c r="Y1" s="341">
        <v>2006</v>
      </c>
      <c r="Z1" s="341">
        <v>2007</v>
      </c>
      <c r="AA1" s="341">
        <v>2008</v>
      </c>
      <c r="AB1" s="341">
        <v>2009</v>
      </c>
      <c r="AC1" s="341">
        <v>2010</v>
      </c>
      <c r="AD1" s="341">
        <v>2011</v>
      </c>
      <c r="AE1" s="341">
        <v>2012</v>
      </c>
      <c r="AF1" s="341">
        <v>2013</v>
      </c>
      <c r="AG1" s="341">
        <v>2014</v>
      </c>
      <c r="AH1" s="341">
        <v>2015</v>
      </c>
      <c r="AI1" s="341">
        <v>2016</v>
      </c>
      <c r="AJ1" s="341">
        <v>2017</v>
      </c>
      <c r="AK1" s="341">
        <v>2018</v>
      </c>
      <c r="AL1" s="341">
        <v>2019</v>
      </c>
      <c r="AM1" s="341">
        <v>2020</v>
      </c>
      <c r="AN1" s="341">
        <v>2021</v>
      </c>
      <c r="AO1" s="341">
        <v>2022</v>
      </c>
      <c r="AP1" s="341">
        <v>2023</v>
      </c>
      <c r="AQ1" s="341">
        <v>2024</v>
      </c>
      <c r="AR1" s="341">
        <v>2025</v>
      </c>
      <c r="AS1" s="341">
        <v>2026</v>
      </c>
      <c r="AT1" s="341">
        <v>2027</v>
      </c>
      <c r="AU1" s="341">
        <v>2028</v>
      </c>
      <c r="AV1" s="341">
        <v>2029</v>
      </c>
      <c r="AW1" s="686">
        <v>2030</v>
      </c>
      <c r="AX1" s="341">
        <v>2031</v>
      </c>
      <c r="AY1" s="341">
        <v>2032</v>
      </c>
      <c r="AZ1" s="341">
        <v>2033</v>
      </c>
      <c r="BA1" s="341">
        <v>2034</v>
      </c>
      <c r="BB1" s="686">
        <v>2035</v>
      </c>
      <c r="BC1" s="341">
        <v>2036</v>
      </c>
      <c r="BD1" s="341">
        <v>2037</v>
      </c>
      <c r="BE1" s="341">
        <v>2038</v>
      </c>
      <c r="BF1" s="341">
        <v>2039</v>
      </c>
      <c r="BG1" s="341">
        <v>2040</v>
      </c>
      <c r="BH1" s="341">
        <v>2041</v>
      </c>
      <c r="BI1" s="341">
        <v>2042</v>
      </c>
      <c r="BJ1" s="341">
        <v>2043</v>
      </c>
      <c r="BK1" s="341">
        <v>2044</v>
      </c>
      <c r="BL1" s="341">
        <v>2045</v>
      </c>
      <c r="BM1" s="341">
        <v>2046</v>
      </c>
      <c r="BN1" s="341">
        <v>2047</v>
      </c>
      <c r="BO1" s="341">
        <v>2048</v>
      </c>
      <c r="BP1" s="341">
        <v>2049</v>
      </c>
      <c r="BQ1" s="341">
        <v>2050</v>
      </c>
      <c r="BR1" s="341">
        <v>2051</v>
      </c>
      <c r="BS1" s="341">
        <v>2052</v>
      </c>
      <c r="BT1" s="341">
        <v>2053</v>
      </c>
      <c r="BU1" s="341">
        <v>2054</v>
      </c>
      <c r="BV1" s="341">
        <v>2055</v>
      </c>
    </row>
    <row r="2" spans="1:74" s="347" customFormat="1" ht="47.4" customHeight="1" x14ac:dyDescent="0.75">
      <c r="A2" s="989"/>
      <c r="B2" s="831"/>
      <c r="C2" s="1148"/>
      <c r="D2" s="1149"/>
      <c r="E2" s="343" t="s">
        <v>445</v>
      </c>
      <c r="F2" s="390"/>
      <c r="G2" s="344"/>
      <c r="H2" s="390"/>
      <c r="I2" s="345"/>
      <c r="J2" s="345"/>
      <c r="K2" s="345"/>
      <c r="L2" s="345"/>
      <c r="M2" s="345"/>
      <c r="N2" s="345"/>
      <c r="O2" s="345"/>
      <c r="P2" s="345"/>
      <c r="Q2" s="345"/>
      <c r="R2" s="345"/>
      <c r="S2" s="345"/>
      <c r="T2" s="345"/>
      <c r="U2" s="345"/>
      <c r="V2" s="345"/>
      <c r="W2" s="345"/>
      <c r="X2" s="1212"/>
      <c r="Y2" s="345"/>
      <c r="Z2" s="345"/>
      <c r="AA2" s="345"/>
      <c r="AB2" s="345"/>
      <c r="AC2" s="345"/>
      <c r="AD2" s="345"/>
      <c r="AE2" s="345"/>
      <c r="AF2" s="345"/>
      <c r="AG2" s="345"/>
      <c r="AH2" s="345"/>
      <c r="AI2" s="345"/>
      <c r="AJ2" s="345"/>
      <c r="AK2" s="345"/>
      <c r="AL2" s="345"/>
      <c r="AM2" s="345"/>
      <c r="AN2" s="345"/>
      <c r="AO2" s="346"/>
      <c r="AP2" s="346"/>
      <c r="AQ2" s="346"/>
      <c r="AR2" s="346"/>
      <c r="AS2" s="346"/>
      <c r="AT2" s="346"/>
      <c r="AU2" s="346"/>
      <c r="AV2" s="346"/>
      <c r="AW2" s="687"/>
      <c r="AX2" s="346"/>
      <c r="AY2" s="346"/>
      <c r="AZ2" s="346"/>
      <c r="BA2" s="346"/>
      <c r="BB2" s="687"/>
      <c r="BC2" s="346"/>
      <c r="BD2" s="346"/>
      <c r="BE2" s="346"/>
      <c r="BF2" s="346"/>
      <c r="BG2" s="346"/>
      <c r="BH2" s="346"/>
      <c r="BI2" s="346"/>
      <c r="BJ2" s="346"/>
      <c r="BK2" s="346"/>
      <c r="BL2" s="346"/>
      <c r="BM2" s="346"/>
      <c r="BN2" s="346"/>
      <c r="BO2" s="346"/>
      <c r="BP2" s="346"/>
      <c r="BQ2" s="346"/>
      <c r="BR2" s="346"/>
      <c r="BS2" s="346"/>
      <c r="BT2" s="346"/>
      <c r="BU2" s="346"/>
      <c r="BV2" s="346"/>
    </row>
    <row r="3" spans="1:74" s="1147" customFormat="1" ht="48" customHeight="1" x14ac:dyDescent="0.4">
      <c r="A3" s="1140"/>
      <c r="B3" s="1141"/>
      <c r="C3" s="1142"/>
      <c r="D3" s="1143"/>
      <c r="E3" s="348" t="s">
        <v>446</v>
      </c>
      <c r="F3" s="1144"/>
      <c r="G3" s="348"/>
      <c r="H3" s="1144"/>
      <c r="I3" s="1145"/>
      <c r="J3" s="1145"/>
      <c r="K3" s="1145"/>
      <c r="L3" s="1145"/>
      <c r="M3" s="1145"/>
      <c r="N3" s="1145"/>
      <c r="O3" s="1145"/>
      <c r="P3" s="1145"/>
      <c r="Q3" s="1145"/>
      <c r="R3" s="1145"/>
      <c r="S3" s="1145"/>
      <c r="T3" s="1145"/>
      <c r="U3" s="1145"/>
      <c r="V3" s="1145"/>
      <c r="W3" s="1145"/>
      <c r="X3" s="1146"/>
      <c r="Y3" s="1145"/>
      <c r="Z3" s="1145"/>
      <c r="AA3" s="1145"/>
      <c r="AB3" s="1145"/>
      <c r="AC3" s="1145"/>
      <c r="AD3" s="1145"/>
      <c r="AE3" s="1145"/>
      <c r="AF3" s="1145"/>
      <c r="AG3" s="1145"/>
      <c r="AH3" s="1145"/>
      <c r="AI3" s="1145"/>
      <c r="AJ3" s="1145"/>
      <c r="AK3" s="1145"/>
      <c r="AL3" s="1145"/>
      <c r="AM3" s="1145"/>
      <c r="AN3" s="1145"/>
      <c r="AO3" s="1145"/>
      <c r="AP3" s="1145"/>
      <c r="AQ3" s="1145"/>
      <c r="AR3" s="1145"/>
      <c r="AS3" s="1145"/>
      <c r="AT3" s="1145"/>
      <c r="AU3" s="1145"/>
      <c r="AV3" s="1145"/>
      <c r="AW3" s="1146"/>
      <c r="AX3" s="1145"/>
      <c r="AY3" s="1145"/>
      <c r="AZ3" s="1145"/>
      <c r="BA3" s="1145"/>
      <c r="BB3" s="1146"/>
      <c r="BC3" s="1145"/>
      <c r="BD3" s="1145"/>
      <c r="BE3" s="1145"/>
      <c r="BF3" s="1145"/>
      <c r="BG3" s="1145"/>
      <c r="BH3" s="1145"/>
      <c r="BI3" s="1145"/>
      <c r="BJ3" s="1145"/>
      <c r="BK3" s="1145"/>
      <c r="BL3" s="1145"/>
      <c r="BM3" s="1145"/>
      <c r="BN3" s="1145"/>
      <c r="BO3" s="1145"/>
      <c r="BP3" s="1145"/>
      <c r="BQ3" s="1145"/>
      <c r="BR3" s="1145"/>
      <c r="BS3" s="1145"/>
      <c r="BT3" s="1145"/>
      <c r="BU3" s="1145"/>
      <c r="BV3" s="1145"/>
    </row>
    <row r="4" spans="1:74" s="987" customFormat="1" ht="20.399999999999999" x14ac:dyDescent="0.4">
      <c r="A4" s="851"/>
      <c r="B4" s="832"/>
      <c r="C4" s="868"/>
      <c r="D4" s="887"/>
      <c r="E4" s="997"/>
      <c r="F4" s="1005"/>
      <c r="G4" s="995"/>
      <c r="H4" s="1005"/>
      <c r="I4" s="995"/>
      <c r="J4" s="995"/>
      <c r="K4" s="995"/>
      <c r="L4" s="995"/>
      <c r="M4" s="995"/>
      <c r="N4" s="995"/>
      <c r="O4" s="995"/>
      <c r="P4" s="995"/>
      <c r="Q4" s="995"/>
      <c r="R4" s="995"/>
      <c r="S4" s="995"/>
      <c r="T4" s="995"/>
      <c r="U4" s="995"/>
      <c r="V4" s="995"/>
      <c r="W4" s="995"/>
      <c r="X4" s="996"/>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6"/>
      <c r="AX4" s="995"/>
      <c r="AY4" s="995"/>
      <c r="AZ4" s="995"/>
      <c r="BA4" s="995"/>
      <c r="BB4" s="996"/>
      <c r="BC4" s="995"/>
      <c r="BD4" s="995"/>
      <c r="BE4" s="995"/>
      <c r="BF4" s="995"/>
      <c r="BG4" s="995"/>
      <c r="BH4" s="995"/>
      <c r="BI4" s="995"/>
      <c r="BJ4" s="995"/>
      <c r="BK4" s="995"/>
      <c r="BL4" s="995"/>
      <c r="BM4" s="995"/>
      <c r="BN4" s="995"/>
      <c r="BO4" s="995"/>
      <c r="BP4" s="995"/>
      <c r="BQ4" s="995"/>
      <c r="BR4" s="995"/>
      <c r="BS4" s="995"/>
      <c r="BT4" s="995"/>
      <c r="BU4" s="995"/>
      <c r="BV4" s="995"/>
    </row>
    <row r="5" spans="1:74" x14ac:dyDescent="0.4">
      <c r="A5" s="864" t="s">
        <v>384</v>
      </c>
      <c r="B5" s="864"/>
      <c r="C5" s="1069"/>
      <c r="D5" s="888"/>
      <c r="E5" s="355" t="s">
        <v>329</v>
      </c>
      <c r="F5" s="94"/>
      <c r="G5" s="3" t="s">
        <v>330</v>
      </c>
      <c r="H5" s="94"/>
      <c r="I5" s="4"/>
      <c r="J5" s="5" t="s">
        <v>44</v>
      </c>
      <c r="K5" s="6"/>
      <c r="L5" s="7"/>
      <c r="M5" s="8"/>
      <c r="N5" s="6"/>
      <c r="O5" s="6"/>
      <c r="P5" s="6"/>
      <c r="Q5" s="6"/>
      <c r="R5" s="6"/>
      <c r="S5" s="6"/>
      <c r="T5" s="6"/>
      <c r="U5" s="6"/>
      <c r="V5" s="6"/>
      <c r="W5" s="6"/>
      <c r="X5" s="1074"/>
      <c r="Y5" s="6"/>
      <c r="Z5" s="6"/>
      <c r="AA5" s="6"/>
      <c r="AB5" s="6"/>
      <c r="AC5" s="6"/>
      <c r="AD5" s="6"/>
      <c r="AE5" s="6"/>
      <c r="AF5" s="6"/>
      <c r="AG5" s="6"/>
      <c r="AH5" s="6"/>
      <c r="AI5" s="6"/>
      <c r="AJ5" s="6"/>
      <c r="AK5" s="6"/>
      <c r="AL5" s="6"/>
      <c r="AM5" s="6"/>
      <c r="AN5" s="6"/>
      <c r="AO5" s="6"/>
      <c r="AP5" s="6"/>
      <c r="AQ5" s="6"/>
      <c r="AR5" s="6"/>
      <c r="AS5" s="6"/>
      <c r="AT5" s="9"/>
      <c r="AU5" s="9"/>
      <c r="AV5" s="9"/>
      <c r="AW5" s="688"/>
      <c r="AX5" s="9"/>
      <c r="AY5" s="9"/>
      <c r="AZ5" s="9"/>
      <c r="BA5" s="9"/>
      <c r="BB5" s="790"/>
      <c r="BC5" s="9"/>
      <c r="BD5" s="9"/>
      <c r="BE5" s="9"/>
      <c r="BF5" s="9"/>
      <c r="BG5" s="9"/>
      <c r="BH5" s="9"/>
      <c r="BI5" s="9"/>
      <c r="BJ5" s="9"/>
      <c r="BK5" s="9"/>
      <c r="BL5" s="9"/>
      <c r="BM5" s="9"/>
      <c r="BN5" s="9"/>
      <c r="BO5" s="9"/>
      <c r="BP5" s="9"/>
      <c r="BQ5" s="9"/>
      <c r="BR5" s="9"/>
      <c r="BS5" s="9"/>
      <c r="BT5" s="9"/>
      <c r="BU5" s="9"/>
      <c r="BV5" s="9"/>
    </row>
    <row r="6" spans="1:74" s="17" customFormat="1" ht="18" customHeight="1" x14ac:dyDescent="0.4">
      <c r="A6" s="1070" t="str">
        <f>IFERROR("OK","ERROR")</f>
        <v>OK</v>
      </c>
      <c r="B6" s="833" t="s">
        <v>38</v>
      </c>
      <c r="C6" s="866" t="s">
        <v>44</v>
      </c>
      <c r="D6" s="889"/>
      <c r="E6" s="11" t="s">
        <v>3</v>
      </c>
      <c r="F6" s="64"/>
      <c r="G6" s="10" t="s">
        <v>110</v>
      </c>
      <c r="H6" s="64"/>
      <c r="I6" s="11">
        <v>1840.5668388442091</v>
      </c>
      <c r="J6" s="11">
        <v>1755.4732847522391</v>
      </c>
      <c r="K6" s="11">
        <v>1899.1390909294269</v>
      </c>
      <c r="L6" s="11">
        <v>2003.7694775747605</v>
      </c>
      <c r="M6" s="11">
        <v>1952.6028642480242</v>
      </c>
      <c r="N6" s="11">
        <v>2057.6669871885515</v>
      </c>
      <c r="O6" s="11">
        <v>2113.0117993479976</v>
      </c>
      <c r="P6" s="11">
        <v>2152.8547183089518</v>
      </c>
      <c r="Q6" s="11">
        <v>2146.0406363316215</v>
      </c>
      <c r="R6" s="11">
        <v>2202.6057421057922</v>
      </c>
      <c r="S6" s="11">
        <v>2184.7135263296391</v>
      </c>
      <c r="T6" s="11">
        <v>2073.0340916136292</v>
      </c>
      <c r="U6" s="11">
        <v>2182.7454499050432</v>
      </c>
      <c r="V6" s="11">
        <v>2171.4373182141999</v>
      </c>
      <c r="W6" s="11">
        <v>2269.9344150834595</v>
      </c>
      <c r="X6" s="704">
        <v>2156.334282529313</v>
      </c>
      <c r="Y6" s="11">
        <v>2220.6442962749834</v>
      </c>
      <c r="Z6" s="11">
        <v>2361.9627639133205</v>
      </c>
      <c r="AA6" s="11">
        <v>2233.937527656708</v>
      </c>
      <c r="AB6" s="11">
        <v>2136.2397232047906</v>
      </c>
      <c r="AC6" s="11">
        <v>2026.1766259143124</v>
      </c>
      <c r="AD6" s="11">
        <v>1904.6955362083017</v>
      </c>
      <c r="AE6" s="11">
        <v>1855.7178237015762</v>
      </c>
      <c r="AF6" s="11">
        <v>1820.6006078175951</v>
      </c>
      <c r="AG6" s="11">
        <v>1828.3398588011544</v>
      </c>
      <c r="AH6" s="11">
        <v>1860.0110441334455</v>
      </c>
      <c r="AI6" s="11">
        <v>1842.7468366568644</v>
      </c>
      <c r="AJ6" s="11">
        <v>1877.1120048856562</v>
      </c>
      <c r="AK6" s="11">
        <v>1922.5433821193596</v>
      </c>
      <c r="AL6" s="11">
        <v>1869.5262204037833</v>
      </c>
      <c r="AM6" s="11">
        <v>1669.0375785598842</v>
      </c>
      <c r="AN6" s="11">
        <v>1757.3742296836915</v>
      </c>
      <c r="AO6" s="11">
        <v>1814.1483995976805</v>
      </c>
      <c r="AP6" s="11">
        <v>1781.7503964892981</v>
      </c>
      <c r="AQ6" s="11">
        <v>1866.4802989032339</v>
      </c>
      <c r="AR6" s="11">
        <v>1804.0629487280448</v>
      </c>
      <c r="AS6" s="12"/>
      <c r="AT6" s="12"/>
      <c r="AU6" s="12"/>
      <c r="AV6" s="12"/>
      <c r="AW6" s="689"/>
      <c r="AX6" s="12"/>
      <c r="AY6" s="12"/>
      <c r="AZ6" s="12"/>
      <c r="BA6" s="12"/>
      <c r="BB6" s="791"/>
      <c r="BC6" s="12"/>
      <c r="BD6" s="12"/>
      <c r="BE6" s="12"/>
      <c r="BF6" s="12"/>
      <c r="BG6" s="12"/>
      <c r="BH6" s="12"/>
      <c r="BI6" s="12"/>
      <c r="BJ6" s="12"/>
      <c r="BK6" s="12"/>
      <c r="BL6" s="12"/>
      <c r="BM6" s="12"/>
      <c r="BN6" s="12"/>
      <c r="BO6" s="12"/>
      <c r="BP6" s="12"/>
      <c r="BQ6" s="12"/>
      <c r="BR6" s="12"/>
      <c r="BS6" s="12"/>
      <c r="BT6" s="12"/>
      <c r="BU6" s="12"/>
      <c r="BV6" s="12"/>
    </row>
    <row r="7" spans="1:74" s="17" customFormat="1" ht="18" customHeight="1" x14ac:dyDescent="0.4">
      <c r="A7" s="1071"/>
      <c r="B7" s="833" t="s">
        <v>39</v>
      </c>
      <c r="C7" s="866" t="s">
        <v>44</v>
      </c>
      <c r="D7" s="890" t="s">
        <v>44</v>
      </c>
      <c r="E7" s="11" t="s">
        <v>177</v>
      </c>
      <c r="F7" s="64" t="s">
        <v>44</v>
      </c>
      <c r="G7" s="10" t="s">
        <v>206</v>
      </c>
      <c r="H7" s="64" t="s">
        <v>44</v>
      </c>
      <c r="I7" s="11">
        <v>902.17458910714197</v>
      </c>
      <c r="J7" s="11">
        <v>790.18127140287231</v>
      </c>
      <c r="K7" s="11">
        <v>584.15222239679724</v>
      </c>
      <c r="L7" s="11">
        <v>550.7848345271932</v>
      </c>
      <c r="M7" s="11">
        <v>520.03459086129692</v>
      </c>
      <c r="N7" s="11">
        <v>552.1678537309308</v>
      </c>
      <c r="O7" s="11">
        <v>529.28161016701472</v>
      </c>
      <c r="P7" s="11">
        <v>648.19719934989917</v>
      </c>
      <c r="Q7" s="11">
        <v>784.60633831389009</v>
      </c>
      <c r="R7" s="11">
        <v>938.5062912021549</v>
      </c>
      <c r="S7" s="11">
        <v>991.47158545317484</v>
      </c>
      <c r="T7" s="11">
        <v>990.79627547336463</v>
      </c>
      <c r="U7" s="11">
        <v>978.77057810197562</v>
      </c>
      <c r="V7" s="11">
        <v>966.6009956358339</v>
      </c>
      <c r="W7" s="11">
        <v>974.99171819265291</v>
      </c>
      <c r="X7" s="704">
        <v>950.90232785951855</v>
      </c>
      <c r="Y7" s="11">
        <v>1395.0262935624601</v>
      </c>
      <c r="Z7" s="11">
        <v>1539.6059268566282</v>
      </c>
      <c r="AA7" s="11">
        <v>2050.4447071488785</v>
      </c>
      <c r="AB7" s="11">
        <v>1865.8440859449915</v>
      </c>
      <c r="AC7" s="11">
        <v>1895.0958048109242</v>
      </c>
      <c r="AD7" s="11">
        <v>1825.4672934305706</v>
      </c>
      <c r="AE7" s="11">
        <v>1893.7085129664042</v>
      </c>
      <c r="AF7" s="11">
        <v>1942.1100012886952</v>
      </c>
      <c r="AG7" s="11">
        <v>1916.9291382499221</v>
      </c>
      <c r="AH7" s="11">
        <v>1965.8424838829117</v>
      </c>
      <c r="AI7" s="11">
        <v>1948.0324020698779</v>
      </c>
      <c r="AJ7" s="11">
        <v>1994.8429166004598</v>
      </c>
      <c r="AK7" s="11">
        <v>2036.0201927630585</v>
      </c>
      <c r="AL7" s="11">
        <v>1988.0646589422433</v>
      </c>
      <c r="AM7" s="11">
        <v>1959.3409732447417</v>
      </c>
      <c r="AN7" s="11">
        <v>1996.6942534241873</v>
      </c>
      <c r="AO7" s="11">
        <v>2017.4008726168163</v>
      </c>
      <c r="AP7" s="11">
        <v>1947.1864178683536</v>
      </c>
      <c r="AQ7" s="11">
        <v>2007.4699648227324</v>
      </c>
      <c r="AR7" s="11">
        <v>1794.4196472392562</v>
      </c>
      <c r="AS7" s="12"/>
      <c r="AT7" s="12"/>
      <c r="AU7" s="12"/>
      <c r="AV7" s="12"/>
      <c r="AW7" s="689"/>
      <c r="AX7" s="12"/>
      <c r="AY7" s="12"/>
      <c r="AZ7" s="12"/>
      <c r="BA7" s="12"/>
      <c r="BB7" s="791"/>
      <c r="BC7" s="12"/>
      <c r="BD7" s="12"/>
      <c r="BE7" s="12"/>
      <c r="BF7" s="12"/>
      <c r="BG7" s="12"/>
      <c r="BH7" s="12"/>
      <c r="BI7" s="12"/>
      <c r="BJ7" s="12"/>
      <c r="BK7" s="12"/>
      <c r="BL7" s="12"/>
      <c r="BM7" s="12"/>
      <c r="BN7" s="12"/>
      <c r="BO7" s="12"/>
      <c r="BP7" s="12"/>
      <c r="BQ7" s="12"/>
      <c r="BR7" s="12"/>
      <c r="BS7" s="12"/>
      <c r="BT7" s="12"/>
      <c r="BU7" s="12"/>
      <c r="BV7" s="12"/>
    </row>
    <row r="8" spans="1:74" s="17" customFormat="1" ht="18" customHeight="1" x14ac:dyDescent="0.4">
      <c r="A8" s="1071"/>
      <c r="B8" s="833" t="s">
        <v>40</v>
      </c>
      <c r="C8" s="866" t="s">
        <v>44</v>
      </c>
      <c r="D8" s="890"/>
      <c r="E8" s="11" t="s">
        <v>2</v>
      </c>
      <c r="F8" s="64"/>
      <c r="G8" s="10" t="s">
        <v>111</v>
      </c>
      <c r="H8" s="64"/>
      <c r="I8" s="11">
        <v>721.77082797684568</v>
      </c>
      <c r="J8" s="11">
        <v>712.02461235206624</v>
      </c>
      <c r="K8" s="11">
        <v>689.23634472800643</v>
      </c>
      <c r="L8" s="11">
        <v>694.36308688563315</v>
      </c>
      <c r="M8" s="11">
        <v>703.10145786337523</v>
      </c>
      <c r="N8" s="11">
        <v>687.33740948466505</v>
      </c>
      <c r="O8" s="11">
        <v>702.02443450140868</v>
      </c>
      <c r="P8" s="11">
        <v>702.66889123131955</v>
      </c>
      <c r="Q8" s="11">
        <v>717.87852954257153</v>
      </c>
      <c r="R8" s="11">
        <v>717.6675292988898</v>
      </c>
      <c r="S8" s="11">
        <v>703.92059749345424</v>
      </c>
      <c r="T8" s="11">
        <v>704.00709173836321</v>
      </c>
      <c r="U8" s="11">
        <v>689.11793826308349</v>
      </c>
      <c r="V8" s="11">
        <v>682.99811253177313</v>
      </c>
      <c r="W8" s="11">
        <v>681.20675392270903</v>
      </c>
      <c r="X8" s="704">
        <v>686.28519341898311</v>
      </c>
      <c r="Y8" s="11">
        <v>713.27916075697351</v>
      </c>
      <c r="Z8" s="11">
        <v>730.96270564890381</v>
      </c>
      <c r="AA8" s="11">
        <v>747.74759930352434</v>
      </c>
      <c r="AB8" s="11">
        <v>734.57445224587002</v>
      </c>
      <c r="AC8" s="11">
        <v>722.38276175524891</v>
      </c>
      <c r="AD8" s="11">
        <v>719.40818265295684</v>
      </c>
      <c r="AE8" s="11">
        <v>713.8355868844144</v>
      </c>
      <c r="AF8" s="11">
        <v>705.01994525796056</v>
      </c>
      <c r="AG8" s="11">
        <v>744.15639330645411</v>
      </c>
      <c r="AH8" s="11">
        <v>734.06322093296922</v>
      </c>
      <c r="AI8" s="11">
        <v>731.54313779732206</v>
      </c>
      <c r="AJ8" s="11">
        <v>734.99081320707012</v>
      </c>
      <c r="AK8" s="11">
        <v>712.0887178357043</v>
      </c>
      <c r="AL8" s="11">
        <v>696.98270903435753</v>
      </c>
      <c r="AM8" s="11">
        <v>693.96407628592169</v>
      </c>
      <c r="AN8" s="11">
        <v>698.15015133017482</v>
      </c>
      <c r="AO8" s="11">
        <v>690.03480363759775</v>
      </c>
      <c r="AP8" s="11">
        <v>667.46610440740528</v>
      </c>
      <c r="AQ8" s="11">
        <v>668.7584145388447</v>
      </c>
      <c r="AR8" s="11">
        <v>668.34042724521601</v>
      </c>
      <c r="AS8" s="12"/>
      <c r="AT8" s="12"/>
      <c r="AU8" s="12"/>
      <c r="AV8" s="12"/>
      <c r="AW8" s="689"/>
      <c r="AX8" s="12"/>
      <c r="AY8" s="12"/>
      <c r="AZ8" s="12"/>
      <c r="BA8" s="12"/>
      <c r="BB8" s="791"/>
      <c r="BC8" s="12"/>
      <c r="BD8" s="12"/>
      <c r="BE8" s="12"/>
      <c r="BF8" s="12"/>
      <c r="BG8" s="12"/>
      <c r="BH8" s="12"/>
      <c r="BI8" s="12"/>
      <c r="BJ8" s="12"/>
      <c r="BK8" s="12"/>
      <c r="BL8" s="12"/>
      <c r="BM8" s="12"/>
      <c r="BN8" s="12"/>
      <c r="BO8" s="12"/>
      <c r="BP8" s="12"/>
      <c r="BQ8" s="12"/>
      <c r="BR8" s="12"/>
      <c r="BS8" s="12"/>
      <c r="BT8" s="12"/>
      <c r="BU8" s="12"/>
      <c r="BV8" s="12"/>
    </row>
    <row r="9" spans="1:74" s="17" customFormat="1" ht="18" customHeight="1" x14ac:dyDescent="0.4">
      <c r="A9" s="1071"/>
      <c r="B9" s="833" t="s">
        <v>41</v>
      </c>
      <c r="C9" s="866" t="s">
        <v>44</v>
      </c>
      <c r="D9" s="890"/>
      <c r="E9" s="11" t="s">
        <v>205</v>
      </c>
      <c r="F9" s="64"/>
      <c r="G9" s="10" t="s">
        <v>393</v>
      </c>
      <c r="H9" s="64"/>
      <c r="I9" s="11">
        <v>6686.454313606826</v>
      </c>
      <c r="J9" s="11">
        <v>6685.0202235171337</v>
      </c>
      <c r="K9" s="11">
        <v>6663.2169067691866</v>
      </c>
      <c r="L9" s="11">
        <v>6669.3083738154355</v>
      </c>
      <c r="M9" s="11">
        <v>6657.1923183116323</v>
      </c>
      <c r="N9" s="11">
        <v>6639.2515600132165</v>
      </c>
      <c r="O9" s="11">
        <v>6631.0041889272552</v>
      </c>
      <c r="P9" s="11">
        <v>6623.2007102001162</v>
      </c>
      <c r="Q9" s="11">
        <v>6621.2202179674096</v>
      </c>
      <c r="R9" s="11">
        <v>6626.2895909164645</v>
      </c>
      <c r="S9" s="11">
        <v>6627.0917098425798</v>
      </c>
      <c r="T9" s="11">
        <v>6635.6169158801713</v>
      </c>
      <c r="U9" s="11">
        <v>6650.7542966270348</v>
      </c>
      <c r="V9" s="11">
        <v>6645.931007501651</v>
      </c>
      <c r="W9" s="11">
        <v>6648.2752466558841</v>
      </c>
      <c r="X9" s="704">
        <v>6649.0651614084263</v>
      </c>
      <c r="Y9" s="11">
        <v>6701.8993151518289</v>
      </c>
      <c r="Z9" s="11">
        <v>6608.2128435144768</v>
      </c>
      <c r="AA9" s="11">
        <v>6653.3721634659805</v>
      </c>
      <c r="AB9" s="11">
        <v>6614.9226945770424</v>
      </c>
      <c r="AC9" s="11">
        <v>6555.7447263429913</v>
      </c>
      <c r="AD9" s="11">
        <v>6499.865492560536</v>
      </c>
      <c r="AE9" s="11">
        <v>6472.5162741129907</v>
      </c>
      <c r="AF9" s="11">
        <v>6438.3935936842572</v>
      </c>
      <c r="AG9" s="11">
        <v>6399.3362065429774</v>
      </c>
      <c r="AH9" s="11">
        <v>6357.2629262272067</v>
      </c>
      <c r="AI9" s="11">
        <v>6304.5506896083052</v>
      </c>
      <c r="AJ9" s="11">
        <v>6242.2890424563357</v>
      </c>
      <c r="AK9" s="11">
        <v>6185.5200768579052</v>
      </c>
      <c r="AL9" s="11">
        <v>6163.9282828910355</v>
      </c>
      <c r="AM9" s="11">
        <v>6154.28878926166</v>
      </c>
      <c r="AN9" s="11">
        <v>6134.8460844575247</v>
      </c>
      <c r="AO9" s="11">
        <v>6130.5054274400427</v>
      </c>
      <c r="AP9" s="11">
        <v>6162.5485425178977</v>
      </c>
      <c r="AQ9" s="11">
        <v>6215.9163201146666</v>
      </c>
      <c r="AR9" s="11">
        <v>6080.3410384327608</v>
      </c>
      <c r="AS9" s="12"/>
      <c r="AT9" s="12"/>
      <c r="AU9" s="12"/>
      <c r="AV9" s="12"/>
      <c r="AW9" s="689"/>
      <c r="AX9" s="12"/>
      <c r="AY9" s="12"/>
      <c r="AZ9" s="12"/>
      <c r="BA9" s="12"/>
      <c r="BB9" s="791"/>
      <c r="BC9" s="12"/>
      <c r="BD9" s="12"/>
      <c r="BE9" s="12"/>
      <c r="BF9" s="12"/>
      <c r="BG9" s="12"/>
      <c r="BH9" s="12"/>
      <c r="BI9" s="12"/>
      <c r="BJ9" s="12"/>
      <c r="BK9" s="12"/>
      <c r="BL9" s="12"/>
      <c r="BM9" s="12"/>
      <c r="BN9" s="12"/>
      <c r="BO9" s="12"/>
      <c r="BP9" s="12"/>
      <c r="BQ9" s="12"/>
      <c r="BR9" s="12"/>
      <c r="BS9" s="12"/>
      <c r="BT9" s="12"/>
      <c r="BU9" s="12"/>
      <c r="BV9" s="12"/>
    </row>
    <row r="10" spans="1:74" s="17" customFormat="1" ht="18" customHeight="1" x14ac:dyDescent="0.4">
      <c r="A10" s="1071"/>
      <c r="B10" s="833" t="s">
        <v>42</v>
      </c>
      <c r="C10" s="866" t="s">
        <v>44</v>
      </c>
      <c r="D10" s="890"/>
      <c r="E10" s="11" t="s">
        <v>1</v>
      </c>
      <c r="F10" s="64"/>
      <c r="G10" s="10" t="s">
        <v>112</v>
      </c>
      <c r="H10" s="64"/>
      <c r="I10" s="11">
        <v>214.55104804070371</v>
      </c>
      <c r="J10" s="11">
        <v>218.73214527671695</v>
      </c>
      <c r="K10" s="11">
        <v>232.018264495739</v>
      </c>
      <c r="L10" s="11">
        <v>242.76590303554312</v>
      </c>
      <c r="M10" s="11">
        <v>250.46480024460189</v>
      </c>
      <c r="N10" s="11">
        <v>260.98909779807474</v>
      </c>
      <c r="O10" s="11">
        <v>271.3079191531819</v>
      </c>
      <c r="P10" s="11">
        <v>281.64235932716178</v>
      </c>
      <c r="Q10" s="11">
        <v>280.33273075718171</v>
      </c>
      <c r="R10" s="11">
        <v>286.55961884960243</v>
      </c>
      <c r="S10" s="11">
        <v>296.21338278213955</v>
      </c>
      <c r="T10" s="11">
        <v>306.38023802044972</v>
      </c>
      <c r="U10" s="11">
        <v>298.75994925990472</v>
      </c>
      <c r="V10" s="11">
        <v>302.63402712426671</v>
      </c>
      <c r="W10" s="11">
        <v>321.62844872162674</v>
      </c>
      <c r="X10" s="704">
        <v>313.96485258104229</v>
      </c>
      <c r="Y10" s="11">
        <v>336.67456223328463</v>
      </c>
      <c r="Z10" s="11">
        <v>340.40470115570582</v>
      </c>
      <c r="AA10" s="11">
        <v>322.50639991392791</v>
      </c>
      <c r="AB10" s="11">
        <v>312.28250739199927</v>
      </c>
      <c r="AC10" s="11">
        <v>308.53384160935076</v>
      </c>
      <c r="AD10" s="11">
        <v>289.49282699573916</v>
      </c>
      <c r="AE10" s="11">
        <v>269.98009062140324</v>
      </c>
      <c r="AF10" s="11">
        <v>268.96715816511937</v>
      </c>
      <c r="AG10" s="11">
        <v>268.51900989163761</v>
      </c>
      <c r="AH10" s="11">
        <v>268.22689895721999</v>
      </c>
      <c r="AI10" s="11">
        <v>263.50757972596665</v>
      </c>
      <c r="AJ10" s="11">
        <v>261.55300486381907</v>
      </c>
      <c r="AK10" s="11">
        <v>260.70105450881061</v>
      </c>
      <c r="AL10" s="11">
        <v>236.17080007645575</v>
      </c>
      <c r="AM10" s="11">
        <v>262.96794933123755</v>
      </c>
      <c r="AN10" s="11">
        <v>271.97276965894605</v>
      </c>
      <c r="AO10" s="11">
        <v>262.27616775923457</v>
      </c>
      <c r="AP10" s="11">
        <v>253.83879543542301</v>
      </c>
      <c r="AQ10" s="11">
        <v>239.38580632707041</v>
      </c>
      <c r="AR10" s="11">
        <v>222.59190359498734</v>
      </c>
      <c r="AS10" s="12"/>
      <c r="AT10" s="12"/>
      <c r="AU10" s="12"/>
      <c r="AV10" s="12"/>
      <c r="AW10" s="689"/>
      <c r="AX10" s="12"/>
      <c r="AY10" s="12"/>
      <c r="AZ10" s="12"/>
      <c r="BA10" s="12"/>
      <c r="BB10" s="791"/>
      <c r="BC10" s="12"/>
      <c r="BD10" s="12"/>
      <c r="BE10" s="12"/>
      <c r="BF10" s="12"/>
      <c r="BG10" s="12"/>
      <c r="BH10" s="12"/>
      <c r="BI10" s="12"/>
      <c r="BJ10" s="12"/>
      <c r="BK10" s="12"/>
      <c r="BL10" s="12"/>
      <c r="BM10" s="12"/>
      <c r="BN10" s="12"/>
      <c r="BO10" s="12"/>
      <c r="BP10" s="12"/>
      <c r="BQ10" s="12"/>
      <c r="BR10" s="12"/>
      <c r="BS10" s="12"/>
      <c r="BT10" s="12"/>
      <c r="BU10" s="12"/>
      <c r="BV10" s="12"/>
    </row>
    <row r="11" spans="1:74" s="35" customFormat="1" ht="18" customHeight="1" x14ac:dyDescent="0.4">
      <c r="A11" s="1072"/>
      <c r="B11" s="833" t="s">
        <v>43</v>
      </c>
      <c r="C11" s="866" t="s">
        <v>44</v>
      </c>
      <c r="D11" s="889"/>
      <c r="E11" s="14" t="s">
        <v>182</v>
      </c>
      <c r="F11" s="89"/>
      <c r="G11" s="13"/>
      <c r="H11" s="89"/>
      <c r="I11" s="14">
        <v>10365.517617575726</v>
      </c>
      <c r="J11" s="14">
        <v>10161.431537301029</v>
      </c>
      <c r="K11" s="14">
        <v>10067.762829319156</v>
      </c>
      <c r="L11" s="14">
        <v>10160.991675838564</v>
      </c>
      <c r="M11" s="14">
        <v>10083.39603152893</v>
      </c>
      <c r="N11" s="14">
        <v>10197.412908215438</v>
      </c>
      <c r="O11" s="14">
        <v>10246.629952096859</v>
      </c>
      <c r="P11" s="14">
        <v>10408.563878417448</v>
      </c>
      <c r="Q11" s="14">
        <v>10550.078452912674</v>
      </c>
      <c r="R11" s="14">
        <v>10771.628772372904</v>
      </c>
      <c r="S11" s="14">
        <v>10803.410801900987</v>
      </c>
      <c r="T11" s="14">
        <v>10709.834612725979</v>
      </c>
      <c r="U11" s="14">
        <v>10800.148212157041</v>
      </c>
      <c r="V11" s="14">
        <v>10769.601461007724</v>
      </c>
      <c r="W11" s="14">
        <v>10896.036582576333</v>
      </c>
      <c r="X11" s="691">
        <v>10756.551817797283</v>
      </c>
      <c r="Y11" s="14">
        <v>11367.523627979532</v>
      </c>
      <c r="Z11" s="14">
        <v>11581.148941089035</v>
      </c>
      <c r="AA11" s="14">
        <v>12008.008397489019</v>
      </c>
      <c r="AB11" s="14">
        <v>11663.863463364694</v>
      </c>
      <c r="AC11" s="14">
        <v>11507.933760432828</v>
      </c>
      <c r="AD11" s="14">
        <v>11238.929331848105</v>
      </c>
      <c r="AE11" s="14">
        <v>11205.75828828679</v>
      </c>
      <c r="AF11" s="14">
        <v>11175.091306213628</v>
      </c>
      <c r="AG11" s="14">
        <v>11157.280606792147</v>
      </c>
      <c r="AH11" s="14">
        <v>11185.406574133753</v>
      </c>
      <c r="AI11" s="14">
        <v>11090.380645858337</v>
      </c>
      <c r="AJ11" s="14">
        <v>11110.787782013342</v>
      </c>
      <c r="AK11" s="14">
        <v>11116.873424084837</v>
      </c>
      <c r="AL11" s="14">
        <v>10954.672671347875</v>
      </c>
      <c r="AM11" s="14">
        <v>10739.599366683446</v>
      </c>
      <c r="AN11" s="14">
        <v>10859.037488554522</v>
      </c>
      <c r="AO11" s="14">
        <v>10914.365671051371</v>
      </c>
      <c r="AP11" s="14">
        <v>10812.790256718379</v>
      </c>
      <c r="AQ11" s="14">
        <v>10998.010804706548</v>
      </c>
      <c r="AR11" s="14">
        <v>10569.755965240267</v>
      </c>
      <c r="AS11" s="12"/>
      <c r="AT11" s="12"/>
      <c r="AU11" s="12"/>
      <c r="AV11" s="12"/>
      <c r="AW11" s="689"/>
      <c r="AX11" s="12"/>
      <c r="AY11" s="12"/>
      <c r="AZ11" s="12"/>
      <c r="BA11" s="12"/>
      <c r="BB11" s="791"/>
      <c r="BC11" s="12"/>
      <c r="BD11" s="12"/>
      <c r="BE11" s="12"/>
      <c r="BF11" s="12"/>
      <c r="BG11" s="12"/>
      <c r="BH11" s="12"/>
      <c r="BI11" s="12"/>
      <c r="BJ11" s="12"/>
      <c r="BK11" s="12"/>
      <c r="BL11" s="12"/>
      <c r="BM11" s="12"/>
      <c r="BN11" s="12"/>
      <c r="BO11" s="12"/>
      <c r="BP11" s="12"/>
      <c r="BQ11" s="12"/>
      <c r="BR11" s="12"/>
      <c r="BS11" s="12"/>
      <c r="BT11" s="12"/>
      <c r="BU11" s="12"/>
      <c r="BV11" s="12"/>
    </row>
    <row r="12" spans="1:74" s="35" customFormat="1" ht="18" customHeight="1" x14ac:dyDescent="0.4">
      <c r="A12" s="1072"/>
      <c r="B12" s="833" t="s">
        <v>45</v>
      </c>
      <c r="C12" s="866" t="s">
        <v>44</v>
      </c>
      <c r="D12" s="889"/>
      <c r="E12" s="14" t="s">
        <v>183</v>
      </c>
      <c r="F12" s="89"/>
      <c r="G12" s="13"/>
      <c r="H12" s="89"/>
      <c r="I12" s="14">
        <v>3679.0633039689005</v>
      </c>
      <c r="J12" s="14">
        <v>3476.4113137838945</v>
      </c>
      <c r="K12" s="14">
        <v>3404.5459225499694</v>
      </c>
      <c r="L12" s="14">
        <v>3491.6833020231297</v>
      </c>
      <c r="M12" s="14">
        <v>3426.2037132172986</v>
      </c>
      <c r="N12" s="14">
        <v>3558.1613482022221</v>
      </c>
      <c r="O12" s="14">
        <v>3615.625763169603</v>
      </c>
      <c r="P12" s="14">
        <v>3785.3631682173327</v>
      </c>
      <c r="Q12" s="14">
        <v>3928.8582349452645</v>
      </c>
      <c r="R12" s="14">
        <v>4145.3391814564393</v>
      </c>
      <c r="S12" s="14">
        <v>4176.3190920584075</v>
      </c>
      <c r="T12" s="14">
        <v>4074.2176968458066</v>
      </c>
      <c r="U12" s="14">
        <v>4149.3939155300068</v>
      </c>
      <c r="V12" s="14">
        <v>4123.6704535060735</v>
      </c>
      <c r="W12" s="14">
        <v>4247.7613359204488</v>
      </c>
      <c r="X12" s="691">
        <v>4107.4866563888572</v>
      </c>
      <c r="Y12" s="14">
        <v>4665.6243128277019</v>
      </c>
      <c r="Z12" s="14">
        <v>4972.9360975745585</v>
      </c>
      <c r="AA12" s="14">
        <v>5354.6362340230389</v>
      </c>
      <c r="AB12" s="14">
        <v>5048.9407687876519</v>
      </c>
      <c r="AC12" s="14">
        <v>4952.1890340898362</v>
      </c>
      <c r="AD12" s="14">
        <v>4739.063839287569</v>
      </c>
      <c r="AE12" s="14">
        <v>4733.2420141737985</v>
      </c>
      <c r="AF12" s="14">
        <v>4736.6977125293706</v>
      </c>
      <c r="AG12" s="14">
        <v>4757.9444002491682</v>
      </c>
      <c r="AH12" s="14">
        <v>4828.1436479065469</v>
      </c>
      <c r="AI12" s="14">
        <v>4785.8299562500315</v>
      </c>
      <c r="AJ12" s="14">
        <v>4868.498739557006</v>
      </c>
      <c r="AK12" s="14">
        <v>4931.3533472269328</v>
      </c>
      <c r="AL12" s="14">
        <v>4790.7443884568402</v>
      </c>
      <c r="AM12" s="14">
        <v>4585.3105774217856</v>
      </c>
      <c r="AN12" s="14">
        <v>4724.1914040969996</v>
      </c>
      <c r="AO12" s="14">
        <v>4783.8602436113288</v>
      </c>
      <c r="AP12" s="14">
        <v>4650.2417142004797</v>
      </c>
      <c r="AQ12" s="14">
        <v>4782.0944845918812</v>
      </c>
      <c r="AR12" s="14">
        <v>4489.4149268075043</v>
      </c>
      <c r="AS12" s="12"/>
      <c r="AT12" s="12"/>
      <c r="AU12" s="12"/>
      <c r="AV12" s="12"/>
      <c r="AW12" s="689"/>
      <c r="AX12" s="12"/>
      <c r="AY12" s="12"/>
      <c r="AZ12" s="12"/>
      <c r="BA12" s="12"/>
      <c r="BB12" s="791"/>
      <c r="BC12" s="12"/>
      <c r="BD12" s="12"/>
      <c r="BE12" s="12"/>
      <c r="BF12" s="12"/>
      <c r="BG12" s="12"/>
      <c r="BH12" s="12"/>
      <c r="BI12" s="12"/>
      <c r="BJ12" s="12"/>
      <c r="BK12" s="12"/>
      <c r="BL12" s="12"/>
      <c r="BM12" s="12"/>
      <c r="BN12" s="12"/>
      <c r="BO12" s="12"/>
      <c r="BP12" s="12"/>
      <c r="BQ12" s="12"/>
      <c r="BR12" s="12"/>
      <c r="BS12" s="12"/>
      <c r="BT12" s="12"/>
      <c r="BU12" s="12"/>
      <c r="BV12" s="12"/>
    </row>
    <row r="13" spans="1:74" s="987" customFormat="1" ht="20.399999999999999" x14ac:dyDescent="0.4">
      <c r="A13" s="851"/>
      <c r="B13" s="832"/>
      <c r="C13" s="868"/>
      <c r="D13" s="887"/>
      <c r="E13" s="997"/>
      <c r="F13" s="1005"/>
      <c r="G13" s="995"/>
      <c r="H13" s="1005"/>
      <c r="I13" s="995"/>
      <c r="J13" s="995"/>
      <c r="K13" s="995"/>
      <c r="L13" s="995"/>
      <c r="M13" s="995"/>
      <c r="N13" s="995"/>
      <c r="O13" s="995"/>
      <c r="P13" s="995"/>
      <c r="Q13" s="995"/>
      <c r="R13" s="995"/>
      <c r="S13" s="995"/>
      <c r="T13" s="995"/>
      <c r="U13" s="995"/>
      <c r="V13" s="995"/>
      <c r="W13" s="995"/>
      <c r="X13" s="996"/>
      <c r="Y13" s="995"/>
      <c r="Z13" s="995"/>
      <c r="AA13" s="995"/>
      <c r="AB13" s="995"/>
      <c r="AC13" s="995"/>
      <c r="AD13" s="995"/>
      <c r="AE13" s="995"/>
      <c r="AF13" s="995"/>
      <c r="AG13" s="995"/>
      <c r="AH13" s="995"/>
      <c r="AI13" s="995"/>
      <c r="AJ13" s="995"/>
      <c r="AK13" s="995"/>
      <c r="AL13" s="995"/>
      <c r="AM13" s="995"/>
      <c r="AN13" s="995"/>
      <c r="AO13" s="995"/>
      <c r="AP13" s="995"/>
      <c r="AQ13" s="995"/>
      <c r="AR13" s="995"/>
      <c r="AS13" s="995"/>
      <c r="AT13" s="995"/>
      <c r="AU13" s="995"/>
      <c r="AV13" s="995"/>
      <c r="AW13" s="996"/>
      <c r="AX13" s="995"/>
      <c r="AY13" s="995"/>
      <c r="AZ13" s="995"/>
      <c r="BA13" s="995"/>
      <c r="BB13" s="996"/>
      <c r="BC13" s="995"/>
      <c r="BD13" s="995"/>
      <c r="BE13" s="995"/>
      <c r="BF13" s="995"/>
      <c r="BG13" s="995"/>
      <c r="BH13" s="995"/>
      <c r="BI13" s="995"/>
      <c r="BJ13" s="995"/>
      <c r="BK13" s="995"/>
      <c r="BL13" s="995"/>
      <c r="BM13" s="995"/>
      <c r="BN13" s="995"/>
      <c r="BO13" s="995"/>
      <c r="BP13" s="995"/>
      <c r="BQ13" s="995"/>
      <c r="BR13" s="995"/>
      <c r="BS13" s="995"/>
      <c r="BT13" s="995"/>
      <c r="BU13" s="995"/>
      <c r="BV13" s="995"/>
    </row>
    <row r="14" spans="1:74" s="1073" customFormat="1" x14ac:dyDescent="0.4">
      <c r="A14" s="864" t="str">
        <f>$A$5</f>
        <v>Heitin sem eru hér til hægri stjórna sambærilegum reitum annars staðar.</v>
      </c>
      <c r="B14" s="864"/>
      <c r="C14" s="1069"/>
      <c r="D14" s="888"/>
      <c r="E14" s="985" t="s">
        <v>469</v>
      </c>
      <c r="F14" s="619"/>
      <c r="G14" s="619" t="s">
        <v>465</v>
      </c>
      <c r="H14" s="94"/>
      <c r="I14" s="15"/>
      <c r="J14" s="15"/>
      <c r="K14" s="15"/>
      <c r="L14" s="15"/>
      <c r="M14" s="15"/>
      <c r="N14" s="15"/>
      <c r="O14" s="15"/>
      <c r="P14" s="15"/>
      <c r="Q14" s="15"/>
      <c r="R14" s="15"/>
      <c r="S14" s="15"/>
      <c r="T14" s="15"/>
      <c r="U14" s="15"/>
      <c r="V14" s="15"/>
      <c r="W14" s="15"/>
      <c r="X14" s="690"/>
      <c r="Y14" s="15"/>
      <c r="Z14" s="15"/>
      <c r="AA14" s="15"/>
      <c r="AB14" s="15"/>
      <c r="AC14" s="15"/>
      <c r="AD14" s="15"/>
      <c r="AE14" s="15"/>
      <c r="AF14" s="15"/>
      <c r="AG14" s="15"/>
      <c r="AH14" s="15"/>
      <c r="AI14" s="15"/>
      <c r="AJ14" s="15"/>
      <c r="AK14" s="15"/>
      <c r="AL14" s="15"/>
      <c r="AM14" s="15"/>
      <c r="AN14" s="15"/>
      <c r="AO14" s="35"/>
      <c r="AP14" s="15"/>
      <c r="AQ14" s="15"/>
      <c r="AR14" s="35"/>
      <c r="AS14" s="35"/>
      <c r="AT14" s="35"/>
      <c r="AU14" s="35"/>
      <c r="AV14" s="35"/>
      <c r="AW14" s="82"/>
      <c r="AX14" s="35"/>
      <c r="AY14" s="35"/>
      <c r="AZ14" s="35"/>
      <c r="BA14" s="35"/>
      <c r="BB14" s="82"/>
      <c r="BC14" s="35"/>
      <c r="BD14" s="35"/>
      <c r="BE14" s="35"/>
      <c r="BF14" s="35"/>
      <c r="BG14" s="35"/>
      <c r="BH14" s="35"/>
      <c r="BI14" s="35"/>
      <c r="BJ14" s="35"/>
      <c r="BK14" s="35"/>
      <c r="BL14" s="35"/>
      <c r="BM14" s="35"/>
      <c r="BN14" s="35"/>
      <c r="BO14" s="35"/>
      <c r="BP14" s="35"/>
      <c r="BQ14" s="35"/>
      <c r="BR14" s="35"/>
      <c r="BS14" s="35"/>
      <c r="BT14" s="35"/>
      <c r="BU14" s="35"/>
      <c r="BV14" s="35"/>
    </row>
    <row r="15" spans="1:74" s="1073" customFormat="1" ht="18" customHeight="1" x14ac:dyDescent="0.4">
      <c r="A15" s="1068"/>
      <c r="B15" s="833" t="s">
        <v>38</v>
      </c>
      <c r="C15" s="866" t="str">
        <f t="shared" ref="C15:C21" si="0">B15&amp;" "&amp;D15</f>
        <v>1. Energykt CO2-eq WEM</v>
      </c>
      <c r="D15" s="891" t="s">
        <v>377</v>
      </c>
      <c r="E15" s="11" t="s">
        <v>3</v>
      </c>
      <c r="F15" s="64"/>
      <c r="G15" s="10" t="s">
        <v>110</v>
      </c>
      <c r="H15" s="64"/>
      <c r="I15" s="12"/>
      <c r="J15" s="12"/>
      <c r="K15" s="12"/>
      <c r="L15" s="12"/>
      <c r="M15" s="12"/>
      <c r="N15" s="12"/>
      <c r="O15" s="12"/>
      <c r="P15" s="12"/>
      <c r="Q15" s="12"/>
      <c r="R15" s="12"/>
      <c r="S15" s="12"/>
      <c r="T15" s="12"/>
      <c r="U15" s="12"/>
      <c r="V15" s="12"/>
      <c r="W15" s="12"/>
      <c r="X15" s="791"/>
      <c r="Y15" s="12"/>
      <c r="Z15" s="12"/>
      <c r="AA15" s="12"/>
      <c r="AB15" s="12"/>
      <c r="AC15" s="12"/>
      <c r="AD15" s="12"/>
      <c r="AE15" s="12"/>
      <c r="AF15" s="12"/>
      <c r="AG15" s="12"/>
      <c r="AH15" s="12"/>
      <c r="AI15" s="12"/>
      <c r="AJ15" s="12"/>
      <c r="AK15" s="12"/>
      <c r="AL15" s="12"/>
      <c r="AM15" s="12"/>
      <c r="AN15" s="12"/>
      <c r="AO15" s="12"/>
      <c r="AP15" s="161"/>
      <c r="AQ15" s="168"/>
      <c r="AR15" s="168">
        <f t="shared" ref="AR15:AR21" si="1">AR6</f>
        <v>1804.0629487280448</v>
      </c>
      <c r="AS15" s="17">
        <v>1758.5094747709545</v>
      </c>
      <c r="AT15" s="17">
        <v>1732.6042929599189</v>
      </c>
      <c r="AU15" s="17">
        <v>1709.9416233638956</v>
      </c>
      <c r="AV15" s="17">
        <v>1672.4262300053508</v>
      </c>
      <c r="AW15" s="1074">
        <v>1615.9379678589469</v>
      </c>
      <c r="AX15" s="17">
        <v>1574.3615886503803</v>
      </c>
      <c r="AY15" s="17">
        <v>1531.5851559294365</v>
      </c>
      <c r="AZ15" s="17">
        <v>1490.3890547842248</v>
      </c>
      <c r="BA15" s="17">
        <v>1447.2699657791948</v>
      </c>
      <c r="BB15" s="1074">
        <v>1394.0311872631319</v>
      </c>
      <c r="BC15" s="17">
        <v>1345.4231240398587</v>
      </c>
      <c r="BD15" s="17">
        <v>1294.7100348349491</v>
      </c>
      <c r="BE15" s="17">
        <v>1242.905436859035</v>
      </c>
      <c r="BF15" s="17">
        <v>1190.189465593076</v>
      </c>
      <c r="BG15" s="17">
        <v>1135.2863070288322</v>
      </c>
      <c r="BH15" s="17">
        <v>1083.9854547482055</v>
      </c>
      <c r="BI15" s="17">
        <v>1032.4542634119487</v>
      </c>
      <c r="BJ15" s="17">
        <v>980.79770877663452</v>
      </c>
      <c r="BK15" s="17">
        <v>929.26711096372799</v>
      </c>
      <c r="BL15" s="17">
        <v>880.40563931435111</v>
      </c>
      <c r="BM15" s="17">
        <v>831.27040973013845</v>
      </c>
      <c r="BN15" s="17">
        <v>781.25803186000076</v>
      </c>
      <c r="BO15" s="17">
        <v>730.22741237509422</v>
      </c>
      <c r="BP15" s="17">
        <v>678.3937020524927</v>
      </c>
      <c r="BQ15" s="17">
        <v>625.561263541382</v>
      </c>
      <c r="BR15" s="17">
        <v>568.48751747525944</v>
      </c>
      <c r="BS15" s="17">
        <v>529.90447871738957</v>
      </c>
      <c r="BT15" s="17">
        <v>495.98531443900447</v>
      </c>
      <c r="BU15" s="17">
        <v>467.23701209930607</v>
      </c>
      <c r="BV15" s="17">
        <v>444.92118695443924</v>
      </c>
    </row>
    <row r="16" spans="1:74" s="68" customFormat="1" ht="18" customHeight="1" x14ac:dyDescent="0.4">
      <c r="A16" s="859"/>
      <c r="B16" s="833" t="s">
        <v>39</v>
      </c>
      <c r="C16" s="866" t="str">
        <f t="shared" si="0"/>
        <v>2. Industrial processes and product usekt CO2-eq WEM</v>
      </c>
      <c r="D16" s="891" t="s">
        <v>377</v>
      </c>
      <c r="E16" s="11" t="str">
        <f>$E$7</f>
        <v>Iðnaður og vörunotkun</v>
      </c>
      <c r="F16" s="64"/>
      <c r="G16" s="11" t="str">
        <f>$G$7</f>
        <v>Industrial Processes and Product Use</v>
      </c>
      <c r="H16" s="64"/>
      <c r="I16" s="12"/>
      <c r="J16" s="12"/>
      <c r="K16" s="12"/>
      <c r="L16" s="12"/>
      <c r="M16" s="12"/>
      <c r="N16" s="12"/>
      <c r="O16" s="12"/>
      <c r="P16" s="12"/>
      <c r="Q16" s="12"/>
      <c r="R16" s="12"/>
      <c r="S16" s="12"/>
      <c r="T16" s="12"/>
      <c r="U16" s="12"/>
      <c r="V16" s="12"/>
      <c r="W16" s="12"/>
      <c r="X16" s="791"/>
      <c r="Y16" s="12"/>
      <c r="Z16" s="12"/>
      <c r="AA16" s="12"/>
      <c r="AB16" s="12"/>
      <c r="AC16" s="12"/>
      <c r="AD16" s="12"/>
      <c r="AE16" s="12"/>
      <c r="AF16" s="12"/>
      <c r="AG16" s="12"/>
      <c r="AH16" s="12"/>
      <c r="AI16" s="12"/>
      <c r="AJ16" s="12"/>
      <c r="AK16" s="12"/>
      <c r="AL16" s="12"/>
      <c r="AM16" s="12"/>
      <c r="AN16" s="12"/>
      <c r="AO16" s="12"/>
      <c r="AP16" s="161"/>
      <c r="AQ16" s="161"/>
      <c r="AR16" s="168">
        <f t="shared" si="1"/>
        <v>1794.4196472392562</v>
      </c>
      <c r="AS16" s="17">
        <v>1734.7417705886837</v>
      </c>
      <c r="AT16" s="17">
        <v>2013.8301926329</v>
      </c>
      <c r="AU16" s="17">
        <v>1978.4823310253389</v>
      </c>
      <c r="AV16" s="17">
        <v>1962.8297905577654</v>
      </c>
      <c r="AW16" s="1074">
        <v>1969.7218415436373</v>
      </c>
      <c r="AX16" s="17">
        <v>1952.2376758706564</v>
      </c>
      <c r="AY16" s="17">
        <v>1954.163341335048</v>
      </c>
      <c r="AZ16" s="17">
        <v>1960.2764086183472</v>
      </c>
      <c r="BA16" s="17">
        <v>1950.1164647515513</v>
      </c>
      <c r="BB16" s="1074">
        <v>1944.8548640854035</v>
      </c>
      <c r="BC16" s="17">
        <v>1950.5900167536731</v>
      </c>
      <c r="BD16" s="17">
        <v>1949.8732198882392</v>
      </c>
      <c r="BE16" s="17">
        <v>1949.9818416407068</v>
      </c>
      <c r="BF16" s="17">
        <v>1950.4563303450723</v>
      </c>
      <c r="BG16" s="17">
        <v>1951.7824658333225</v>
      </c>
      <c r="BH16" s="17">
        <v>1951.2988605289161</v>
      </c>
      <c r="BI16" s="17">
        <v>1951.4526513401092</v>
      </c>
      <c r="BJ16" s="17">
        <v>1951.6149411815268</v>
      </c>
      <c r="BK16" s="17">
        <v>1952.6531482001305</v>
      </c>
      <c r="BL16" s="17">
        <v>1951.8849469398829</v>
      </c>
      <c r="BM16" s="17">
        <v>1952.08001015014</v>
      </c>
      <c r="BN16" s="17">
        <v>1952.4681958742071</v>
      </c>
      <c r="BO16" s="17">
        <v>1953.217208393598</v>
      </c>
      <c r="BP16" s="17">
        <v>1952.3002404841639</v>
      </c>
      <c r="BQ16" s="17">
        <v>1952.3707992450577</v>
      </c>
      <c r="BR16" s="17">
        <v>1952.2944676756333</v>
      </c>
      <c r="BS16" s="17">
        <v>1953.1391730737205</v>
      </c>
      <c r="BT16" s="17">
        <v>1952.2390576853729</v>
      </c>
      <c r="BU16" s="17">
        <v>1952.2942386071607</v>
      </c>
      <c r="BV16" s="17">
        <v>1952.3893476925639</v>
      </c>
    </row>
    <row r="17" spans="1:74" s="68" customFormat="1" ht="18" customHeight="1" x14ac:dyDescent="0.4">
      <c r="A17" s="859"/>
      <c r="B17" s="833" t="s">
        <v>40</v>
      </c>
      <c r="C17" s="866" t="str">
        <f t="shared" si="0"/>
        <v>3. Agriculturekt CO2-eq WEM</v>
      </c>
      <c r="D17" s="891" t="s">
        <v>377</v>
      </c>
      <c r="E17" s="11" t="str">
        <f>$E$8</f>
        <v>Landbúnaður</v>
      </c>
      <c r="F17" s="64"/>
      <c r="G17" s="11" t="str">
        <f>$G$8</f>
        <v>Agriculture</v>
      </c>
      <c r="H17" s="64"/>
      <c r="I17" s="12"/>
      <c r="J17" s="1075"/>
      <c r="K17" s="1075"/>
      <c r="L17" s="1075"/>
      <c r="M17" s="1075"/>
      <c r="N17" s="1075"/>
      <c r="O17" s="1075"/>
      <c r="P17" s="1075"/>
      <c r="Q17" s="1075"/>
      <c r="R17" s="1075"/>
      <c r="S17" s="1075"/>
      <c r="T17" s="1075"/>
      <c r="U17" s="1075"/>
      <c r="V17" s="1075"/>
      <c r="W17" s="1075"/>
      <c r="X17" s="1289"/>
      <c r="Y17" s="1075"/>
      <c r="Z17" s="1075"/>
      <c r="AA17" s="1075"/>
      <c r="AB17" s="1075"/>
      <c r="AC17" s="1075"/>
      <c r="AD17" s="1075"/>
      <c r="AE17" s="1075"/>
      <c r="AF17" s="1075"/>
      <c r="AG17" s="1075"/>
      <c r="AH17" s="1075"/>
      <c r="AI17" s="1075"/>
      <c r="AJ17" s="1075"/>
      <c r="AK17" s="1075"/>
      <c r="AL17" s="1075"/>
      <c r="AM17" s="1075"/>
      <c r="AN17" s="1075"/>
      <c r="AO17" s="1075"/>
      <c r="AP17" s="161"/>
      <c r="AQ17" s="161"/>
      <c r="AR17" s="168">
        <f t="shared" si="1"/>
        <v>668.34042724521601</v>
      </c>
      <c r="AS17" s="17">
        <v>668.54619208554391</v>
      </c>
      <c r="AT17" s="17">
        <v>656.60904705946609</v>
      </c>
      <c r="AU17" s="17">
        <v>654.4797775470571</v>
      </c>
      <c r="AV17" s="17">
        <v>652.13871239495563</v>
      </c>
      <c r="AW17" s="1074">
        <v>650.31376558660054</v>
      </c>
      <c r="AX17" s="17">
        <v>647.73784360894774</v>
      </c>
      <c r="AY17" s="17">
        <v>646.27685346823318</v>
      </c>
      <c r="AZ17" s="17">
        <v>644.11762677097295</v>
      </c>
      <c r="BA17" s="17">
        <v>642.14365199552128</v>
      </c>
      <c r="BB17" s="1074">
        <v>639.5022120899896</v>
      </c>
      <c r="BC17" s="17">
        <v>636.83164857070074</v>
      </c>
      <c r="BD17" s="17">
        <v>634.43854896594473</v>
      </c>
      <c r="BE17" s="17">
        <v>631.91661035643847</v>
      </c>
      <c r="BF17" s="17">
        <v>629.54618905941356</v>
      </c>
      <c r="BG17" s="17">
        <v>627.72066486934909</v>
      </c>
      <c r="BH17" s="17">
        <v>625.60652900788568</v>
      </c>
      <c r="BI17" s="17">
        <v>623.23429645427916</v>
      </c>
      <c r="BJ17" s="17">
        <v>621.85847520718653</v>
      </c>
      <c r="BK17" s="17">
        <v>620.90416111902175</v>
      </c>
      <c r="BL17" s="17">
        <v>617.63373278586982</v>
      </c>
      <c r="BM17" s="17">
        <v>615.35622173838874</v>
      </c>
      <c r="BN17" s="17">
        <v>612.44123308516635</v>
      </c>
      <c r="BO17" s="17">
        <v>609.69795998429311</v>
      </c>
      <c r="BP17" s="17">
        <v>606.31781037972337</v>
      </c>
      <c r="BQ17" s="17">
        <v>602.92761187344752</v>
      </c>
      <c r="BR17" s="17">
        <v>599.7859546805546</v>
      </c>
      <c r="BS17" s="17">
        <v>596.52483307963314</v>
      </c>
      <c r="BT17" s="17">
        <v>593.39974597286641</v>
      </c>
      <c r="BU17" s="17">
        <v>590.76915468008087</v>
      </c>
      <c r="BV17" s="17">
        <v>587.87045907676656</v>
      </c>
    </row>
    <row r="18" spans="1:74" s="68" customFormat="1" ht="18" customHeight="1" x14ac:dyDescent="0.4">
      <c r="A18" s="859"/>
      <c r="B18" s="833" t="s">
        <v>41</v>
      </c>
      <c r="C18" s="866" t="str">
        <f t="shared" si="0"/>
        <v>4. LULUCFkt CO2-eq WEM</v>
      </c>
      <c r="D18" s="891" t="s">
        <v>377</v>
      </c>
      <c r="E18" s="11" t="str">
        <f>$E$9</f>
        <v>Landnotkun</v>
      </c>
      <c r="F18" s="64"/>
      <c r="G18" s="11" t="str">
        <f>$G$9</f>
        <v>Land use, Land-Use Change and Forestry (LULUCF)</v>
      </c>
      <c r="H18" s="64"/>
      <c r="I18" s="12"/>
      <c r="J18" s="1075"/>
      <c r="K18" s="1075"/>
      <c r="L18" s="1075"/>
      <c r="M18" s="1075"/>
      <c r="N18" s="1075"/>
      <c r="O18" s="1075"/>
      <c r="P18" s="1075"/>
      <c r="Q18" s="1075"/>
      <c r="R18" s="1075"/>
      <c r="S18" s="1075"/>
      <c r="T18" s="1075"/>
      <c r="U18" s="1075"/>
      <c r="V18" s="1075"/>
      <c r="W18" s="1075"/>
      <c r="X18" s="1289"/>
      <c r="Y18" s="1075"/>
      <c r="Z18" s="1075"/>
      <c r="AA18" s="1075"/>
      <c r="AB18" s="1075"/>
      <c r="AC18" s="1075"/>
      <c r="AD18" s="1075"/>
      <c r="AE18" s="1075"/>
      <c r="AF18" s="1075"/>
      <c r="AG18" s="1075"/>
      <c r="AH18" s="1075"/>
      <c r="AI18" s="1075"/>
      <c r="AJ18" s="1075"/>
      <c r="AK18" s="1075"/>
      <c r="AL18" s="1075"/>
      <c r="AM18" s="1075"/>
      <c r="AN18" s="1075"/>
      <c r="AO18" s="1075"/>
      <c r="AP18" s="161"/>
      <c r="AQ18" s="161"/>
      <c r="AR18" s="168">
        <f t="shared" si="1"/>
        <v>6080.3410384327608</v>
      </c>
      <c r="AS18" s="17">
        <v>5971.4274562492774</v>
      </c>
      <c r="AT18" s="17">
        <v>5853.210682733772</v>
      </c>
      <c r="AU18" s="17">
        <v>5739.2983895927191</v>
      </c>
      <c r="AV18" s="17">
        <v>5629.8269681428146</v>
      </c>
      <c r="AW18" s="1074">
        <v>5519.3423262110891</v>
      </c>
      <c r="AX18" s="17">
        <v>5455.4870570361609</v>
      </c>
      <c r="AY18" s="17">
        <v>5393.2904917396399</v>
      </c>
      <c r="AZ18" s="17">
        <v>5328.4676053510111</v>
      </c>
      <c r="BA18" s="17">
        <v>5271.5727773244034</v>
      </c>
      <c r="BB18" s="1074">
        <v>5225.8620177609118</v>
      </c>
      <c r="BC18" s="17">
        <v>5175.4442546329956</v>
      </c>
      <c r="BD18" s="17">
        <v>5159.170006150026</v>
      </c>
      <c r="BE18" s="17">
        <v>5110.1961530579738</v>
      </c>
      <c r="BF18" s="17">
        <v>5058.4042521622086</v>
      </c>
      <c r="BG18" s="17">
        <v>5008.0700990507912</v>
      </c>
      <c r="BH18" s="17">
        <v>4946.8431438735988</v>
      </c>
      <c r="BI18" s="17">
        <v>4872.9937834490493</v>
      </c>
      <c r="BJ18" s="17">
        <v>4802.006859906337</v>
      </c>
      <c r="BK18" s="17">
        <v>4722.4123337830033</v>
      </c>
      <c r="BL18" s="17">
        <v>4650.2229004345827</v>
      </c>
      <c r="BM18" s="17">
        <v>4564.8340324253977</v>
      </c>
      <c r="BN18" s="17">
        <v>4480.0487375006414</v>
      </c>
      <c r="BO18" s="17">
        <v>4399.5154548936544</v>
      </c>
      <c r="BP18" s="17">
        <v>4317.597985213597</v>
      </c>
      <c r="BQ18" s="17">
        <v>4228.651507077424</v>
      </c>
      <c r="BR18" s="17">
        <v>4135.6514579384448</v>
      </c>
      <c r="BS18" s="17">
        <v>4050.7876785320909</v>
      </c>
      <c r="BT18" s="17">
        <v>3960.3143154877635</v>
      </c>
      <c r="BU18" s="17">
        <v>3869.3162309244071</v>
      </c>
      <c r="BV18" s="17">
        <v>3784.3948741814406</v>
      </c>
    </row>
    <row r="19" spans="1:74" s="68" customFormat="1" ht="18" customHeight="1" x14ac:dyDescent="0.4">
      <c r="A19" s="859"/>
      <c r="B19" s="833" t="s">
        <v>42</v>
      </c>
      <c r="C19" s="866" t="str">
        <f t="shared" si="0"/>
        <v>5. Wastekt CO2-eq WEM</v>
      </c>
      <c r="D19" s="891" t="s">
        <v>377</v>
      </c>
      <c r="E19" s="11" t="str">
        <f>$E$10</f>
        <v>Úrgangur</v>
      </c>
      <c r="F19" s="64"/>
      <c r="G19" s="11" t="str">
        <f>$G$10</f>
        <v>Waste</v>
      </c>
      <c r="H19" s="64"/>
      <c r="I19" s="12"/>
      <c r="J19" s="1075"/>
      <c r="K19" s="1075"/>
      <c r="L19" s="1075"/>
      <c r="M19" s="1075"/>
      <c r="N19" s="1075"/>
      <c r="O19" s="1075"/>
      <c r="P19" s="1075"/>
      <c r="Q19" s="1075"/>
      <c r="R19" s="1075"/>
      <c r="S19" s="1075"/>
      <c r="T19" s="1075"/>
      <c r="U19" s="1075"/>
      <c r="V19" s="1075"/>
      <c r="W19" s="1075"/>
      <c r="X19" s="1289"/>
      <c r="Y19" s="1075"/>
      <c r="Z19" s="1075"/>
      <c r="AA19" s="1075"/>
      <c r="AB19" s="1075"/>
      <c r="AC19" s="1075"/>
      <c r="AD19" s="1075"/>
      <c r="AE19" s="1075"/>
      <c r="AF19" s="1075"/>
      <c r="AG19" s="1075"/>
      <c r="AH19" s="1075"/>
      <c r="AI19" s="1075"/>
      <c r="AJ19" s="1075"/>
      <c r="AK19" s="1075"/>
      <c r="AL19" s="1075"/>
      <c r="AM19" s="1075"/>
      <c r="AN19" s="1075"/>
      <c r="AO19" s="1075"/>
      <c r="AP19" s="161"/>
      <c r="AQ19" s="161"/>
      <c r="AR19" s="168">
        <f t="shared" si="1"/>
        <v>222.59190359498734</v>
      </c>
      <c r="AS19" s="17">
        <v>208.15885027314599</v>
      </c>
      <c r="AT19" s="17">
        <v>196.36901008566119</v>
      </c>
      <c r="AU19" s="17">
        <v>185.59010978187698</v>
      </c>
      <c r="AV19" s="17">
        <v>171.08331787216105</v>
      </c>
      <c r="AW19" s="1074">
        <v>158.78787478384629</v>
      </c>
      <c r="AX19" s="17">
        <v>148.29387899216445</v>
      </c>
      <c r="AY19" s="17">
        <v>141.52595425683512</v>
      </c>
      <c r="AZ19" s="17">
        <v>140.29165420798648</v>
      </c>
      <c r="BA19" s="17">
        <v>132.79800042393882</v>
      </c>
      <c r="BB19" s="1074">
        <v>126.40196847157881</v>
      </c>
      <c r="BC19" s="17">
        <v>120.94766925334844</v>
      </c>
      <c r="BD19" s="17">
        <v>116.41662117498754</v>
      </c>
      <c r="BE19" s="17">
        <v>112.7028484690579</v>
      </c>
      <c r="BF19" s="17">
        <v>108.27903373285127</v>
      </c>
      <c r="BG19" s="17">
        <v>104.18251000925142</v>
      </c>
      <c r="BH19" s="17">
        <v>100.53628682121756</v>
      </c>
      <c r="BI19" s="17">
        <v>97.289834457392374</v>
      </c>
      <c r="BJ19" s="17">
        <v>94.389988116587233</v>
      </c>
      <c r="BK19" s="17">
        <v>91.79643632540845</v>
      </c>
      <c r="BL19" s="17">
        <v>89.471655125469539</v>
      </c>
      <c r="BM19" s="17">
        <v>87.386208255484007</v>
      </c>
      <c r="BN19" s="17">
        <v>85.511703398780526</v>
      </c>
      <c r="BO19" s="17">
        <v>83.811627445305078</v>
      </c>
      <c r="BP19" s="17">
        <v>82.281994913184576</v>
      </c>
      <c r="BQ19" s="17">
        <v>80.903256811301574</v>
      </c>
      <c r="BR19" s="17">
        <v>79.65613033947119</v>
      </c>
      <c r="BS19" s="17">
        <v>78.528983113746079</v>
      </c>
      <c r="BT19" s="17">
        <v>77.513106300715606</v>
      </c>
      <c r="BU19" s="17">
        <v>76.598637604822585</v>
      </c>
      <c r="BV19" s="17">
        <v>75.768407824053725</v>
      </c>
    </row>
    <row r="20" spans="1:74" s="63" customFormat="1" ht="18" customHeight="1" x14ac:dyDescent="0.4">
      <c r="A20" s="861"/>
      <c r="B20" s="833" t="s">
        <v>43</v>
      </c>
      <c r="C20" s="866" t="str">
        <f t="shared" si="0"/>
        <v>National Total, with LULUCFkt CO2-eq WEM</v>
      </c>
      <c r="D20" s="891" t="s">
        <v>377</v>
      </c>
      <c r="E20" s="14" t="str">
        <f>$E$11</f>
        <v>Samtals með landnotkun | Total with LULUCF</v>
      </c>
      <c r="F20" s="89"/>
      <c r="G20" s="14"/>
      <c r="H20" s="89"/>
      <c r="I20" s="16"/>
      <c r="J20" s="1076"/>
      <c r="K20" s="1076"/>
      <c r="L20" s="1076"/>
      <c r="M20" s="1076"/>
      <c r="N20" s="1076"/>
      <c r="O20" s="1076"/>
      <c r="P20" s="1076"/>
      <c r="Q20" s="1076"/>
      <c r="R20" s="1076"/>
      <c r="S20" s="1076"/>
      <c r="T20" s="1076"/>
      <c r="U20" s="1076"/>
      <c r="V20" s="1076"/>
      <c r="W20" s="1076"/>
      <c r="X20" s="1290"/>
      <c r="Y20" s="1076"/>
      <c r="Z20" s="1076"/>
      <c r="AA20" s="1076"/>
      <c r="AB20" s="1076"/>
      <c r="AC20" s="1076"/>
      <c r="AD20" s="1076"/>
      <c r="AE20" s="1076"/>
      <c r="AF20" s="1076"/>
      <c r="AG20" s="1076"/>
      <c r="AH20" s="1076"/>
      <c r="AI20" s="1076"/>
      <c r="AJ20" s="1076"/>
      <c r="AK20" s="1076"/>
      <c r="AL20" s="1076"/>
      <c r="AM20" s="1076"/>
      <c r="AN20" s="1076"/>
      <c r="AO20" s="1076"/>
      <c r="AP20" s="161"/>
      <c r="AQ20" s="161"/>
      <c r="AR20" s="168">
        <f t="shared" si="1"/>
        <v>10569.755965240267</v>
      </c>
      <c r="AS20" s="14">
        <v>10341.383743967606</v>
      </c>
      <c r="AT20" s="14">
        <v>10452.623225471718</v>
      </c>
      <c r="AU20" s="14">
        <v>10267.792231310888</v>
      </c>
      <c r="AV20" s="14">
        <v>10088.305018973047</v>
      </c>
      <c r="AW20" s="691">
        <v>9914.1037759841183</v>
      </c>
      <c r="AX20" s="14">
        <v>9778.1180441583092</v>
      </c>
      <c r="AY20" s="14">
        <v>9666.8417967291934</v>
      </c>
      <c r="AZ20" s="14">
        <v>9563.542349732541</v>
      </c>
      <c r="BA20" s="14">
        <v>9443.9008602746089</v>
      </c>
      <c r="BB20" s="691">
        <v>9330.6522496710149</v>
      </c>
      <c r="BC20" s="14">
        <v>9229.2367132505769</v>
      </c>
      <c r="BD20" s="14">
        <v>9154.6084310141468</v>
      </c>
      <c r="BE20" s="14">
        <v>9047.7028903832124</v>
      </c>
      <c r="BF20" s="14">
        <v>8936.8752708926222</v>
      </c>
      <c r="BG20" s="14">
        <v>8827.0420467915465</v>
      </c>
      <c r="BH20" s="14">
        <v>8708.2702749798227</v>
      </c>
      <c r="BI20" s="14">
        <v>8577.4248291127788</v>
      </c>
      <c r="BJ20" s="14">
        <v>8450.6679731882723</v>
      </c>
      <c r="BK20" s="14">
        <v>8317.033190391292</v>
      </c>
      <c r="BL20" s="14">
        <v>8189.6188746001562</v>
      </c>
      <c r="BM20" s="14">
        <v>8050.9268822995491</v>
      </c>
      <c r="BN20" s="14">
        <v>7911.7279017187966</v>
      </c>
      <c r="BO20" s="14">
        <v>7776.4696630919452</v>
      </c>
      <c r="BP20" s="14">
        <v>7636.8917330431614</v>
      </c>
      <c r="BQ20" s="14">
        <v>7490.4144385486125</v>
      </c>
      <c r="BR20" s="14">
        <v>7335.8755281093636</v>
      </c>
      <c r="BS20" s="14">
        <v>7208.8851465165799</v>
      </c>
      <c r="BT20" s="14">
        <v>7079.4515398857229</v>
      </c>
      <c r="BU20" s="14">
        <v>6956.2152739157773</v>
      </c>
      <c r="BV20" s="14">
        <v>6845.3442757292642</v>
      </c>
    </row>
    <row r="21" spans="1:74" s="63" customFormat="1" ht="18" customHeight="1" x14ac:dyDescent="0.4">
      <c r="A21" s="861"/>
      <c r="B21" s="833" t="s">
        <v>45</v>
      </c>
      <c r="C21" s="866" t="str">
        <f t="shared" si="0"/>
        <v>National Total, without LULUCFkt CO2-eq WEM</v>
      </c>
      <c r="D21" s="891" t="s">
        <v>377</v>
      </c>
      <c r="E21" s="14" t="str">
        <f>$E$12</f>
        <v>Samtals án landnotkunar | Total without LULUCF</v>
      </c>
      <c r="F21" s="89"/>
      <c r="G21" s="14"/>
      <c r="H21" s="89"/>
      <c r="I21" s="16"/>
      <c r="J21" s="1076"/>
      <c r="K21" s="1076"/>
      <c r="L21" s="1076"/>
      <c r="M21" s="1076"/>
      <c r="N21" s="1076"/>
      <c r="O21" s="1076"/>
      <c r="P21" s="1076"/>
      <c r="Q21" s="1076"/>
      <c r="R21" s="1076"/>
      <c r="S21" s="1076"/>
      <c r="T21" s="1076"/>
      <c r="U21" s="1076"/>
      <c r="V21" s="1076"/>
      <c r="W21" s="1076"/>
      <c r="X21" s="1290"/>
      <c r="Y21" s="1076"/>
      <c r="Z21" s="1076"/>
      <c r="AA21" s="1076"/>
      <c r="AB21" s="1076"/>
      <c r="AC21" s="1076"/>
      <c r="AD21" s="1076"/>
      <c r="AE21" s="1076"/>
      <c r="AF21" s="1076"/>
      <c r="AG21" s="1076"/>
      <c r="AH21" s="1076"/>
      <c r="AI21" s="1076"/>
      <c r="AJ21" s="1076"/>
      <c r="AK21" s="1076"/>
      <c r="AL21" s="1076"/>
      <c r="AM21" s="1076"/>
      <c r="AN21" s="1076"/>
      <c r="AO21" s="1076"/>
      <c r="AP21" s="161"/>
      <c r="AQ21" s="161"/>
      <c r="AR21" s="168">
        <f t="shared" si="1"/>
        <v>4489.4149268075043</v>
      </c>
      <c r="AS21" s="14">
        <v>4369.956287718328</v>
      </c>
      <c r="AT21" s="14">
        <v>4599.4125427379458</v>
      </c>
      <c r="AU21" s="14">
        <v>4528.4938417181684</v>
      </c>
      <c r="AV21" s="14">
        <v>4458.4780508302329</v>
      </c>
      <c r="AW21" s="691">
        <v>4394.7614497730301</v>
      </c>
      <c r="AX21" s="14">
        <v>4322.6309871221492</v>
      </c>
      <c r="AY21" s="14">
        <v>4273.5513049895526</v>
      </c>
      <c r="AZ21" s="14">
        <v>4235.0747443815308</v>
      </c>
      <c r="BA21" s="14">
        <v>4172.3280829502064</v>
      </c>
      <c r="BB21" s="691">
        <v>4104.7902319101031</v>
      </c>
      <c r="BC21" s="14">
        <v>4053.7924586175809</v>
      </c>
      <c r="BD21" s="14">
        <v>3995.4384248641209</v>
      </c>
      <c r="BE21" s="14">
        <v>3937.5067373252382</v>
      </c>
      <c r="BF21" s="14">
        <v>3878.4710187304131</v>
      </c>
      <c r="BG21" s="14">
        <v>3818.9719477407552</v>
      </c>
      <c r="BH21" s="14">
        <v>3761.4271311062244</v>
      </c>
      <c r="BI21" s="14">
        <v>3704.431045663729</v>
      </c>
      <c r="BJ21" s="14">
        <v>3648.6611132819348</v>
      </c>
      <c r="BK21" s="14">
        <v>3594.6208566082892</v>
      </c>
      <c r="BL21" s="14">
        <v>3539.3959741655735</v>
      </c>
      <c r="BM21" s="14">
        <v>3486.0928498741514</v>
      </c>
      <c r="BN21" s="14">
        <v>3431.6791642181547</v>
      </c>
      <c r="BO21" s="14">
        <v>3376.9542081982904</v>
      </c>
      <c r="BP21" s="14">
        <v>3319.2937478295644</v>
      </c>
      <c r="BQ21" s="14">
        <v>3261.7629314711889</v>
      </c>
      <c r="BR21" s="14">
        <v>3200.2240701709188</v>
      </c>
      <c r="BS21" s="14">
        <v>3158.0974679844894</v>
      </c>
      <c r="BT21" s="14">
        <v>3119.1372243979595</v>
      </c>
      <c r="BU21" s="14">
        <v>3086.8990429913706</v>
      </c>
      <c r="BV21" s="14">
        <v>3060.9494015478231</v>
      </c>
    </row>
    <row r="22" spans="1:74" s="68" customFormat="1" x14ac:dyDescent="0.4">
      <c r="A22" s="859"/>
      <c r="B22" s="1077"/>
      <c r="C22" s="867" t="s">
        <v>44</v>
      </c>
      <c r="D22" s="891"/>
      <c r="E22" s="17" t="s">
        <v>44</v>
      </c>
      <c r="F22" s="1006"/>
      <c r="G22" s="17"/>
      <c r="H22" s="1006"/>
      <c r="I22" s="17"/>
      <c r="J22" s="17"/>
      <c r="K22" s="17"/>
      <c r="L22" s="17"/>
      <c r="M22" s="17"/>
      <c r="N22" s="17"/>
      <c r="O22" s="17"/>
      <c r="P22" s="17"/>
      <c r="Q22" s="17"/>
      <c r="R22" s="17"/>
      <c r="S22" s="17"/>
      <c r="T22" s="17"/>
      <c r="U22" s="17"/>
      <c r="V22" s="17"/>
      <c r="W22" s="17"/>
      <c r="X22" s="1074"/>
      <c r="Y22" s="17"/>
      <c r="Z22" s="17"/>
      <c r="AA22" s="17"/>
      <c r="AB22" s="17"/>
      <c r="AC22" s="17"/>
      <c r="AD22" s="17"/>
      <c r="AE22" s="17"/>
      <c r="AF22" s="17"/>
      <c r="AG22" s="17"/>
      <c r="AH22" s="17"/>
      <c r="AI22" s="17"/>
      <c r="AJ22" s="17"/>
      <c r="AK22" s="17"/>
      <c r="AL22" s="17"/>
      <c r="AM22" s="17"/>
      <c r="AN22" s="17"/>
      <c r="AO22" s="17"/>
      <c r="AP22" s="17"/>
      <c r="AQ22" s="17"/>
      <c r="AR22" s="17"/>
      <c r="BB22" s="793"/>
    </row>
    <row r="23" spans="1:74" s="68" customFormat="1" x14ac:dyDescent="0.4">
      <c r="A23" s="859"/>
      <c r="B23" s="1077"/>
      <c r="C23" s="867"/>
      <c r="D23" s="891"/>
      <c r="E23" s="17"/>
      <c r="F23" s="1006"/>
      <c r="G23" s="17"/>
      <c r="H23" s="1006"/>
      <c r="I23" s="17"/>
      <c r="J23" s="17"/>
      <c r="K23" s="17"/>
      <c r="L23" s="17"/>
      <c r="M23" s="17"/>
      <c r="N23" s="17"/>
      <c r="O23" s="17"/>
      <c r="P23" s="17"/>
      <c r="Q23" s="17"/>
      <c r="R23" s="17"/>
      <c r="S23" s="17"/>
      <c r="T23" s="17"/>
      <c r="U23" s="17"/>
      <c r="V23" s="17"/>
      <c r="W23" s="17"/>
      <c r="X23" s="1074"/>
      <c r="Y23" s="17"/>
      <c r="Z23" s="17"/>
      <c r="AA23" s="17"/>
      <c r="AB23" s="17"/>
      <c r="AC23" s="17"/>
      <c r="AD23" s="17"/>
      <c r="AE23" s="17"/>
      <c r="AF23" s="17"/>
      <c r="AG23" s="17"/>
      <c r="AH23" s="17"/>
      <c r="AI23" s="17"/>
      <c r="AJ23" s="17"/>
      <c r="AK23" s="17"/>
      <c r="AL23" s="17"/>
      <c r="AM23" s="17"/>
      <c r="AN23" s="17"/>
      <c r="AO23" s="17"/>
      <c r="AP23" s="17"/>
      <c r="AQ23" s="17"/>
      <c r="AR23" s="51"/>
      <c r="AS23" s="51"/>
      <c r="AT23" s="51"/>
      <c r="AU23" s="51"/>
      <c r="AV23" s="51"/>
      <c r="AW23" s="688"/>
      <c r="AX23" s="51"/>
      <c r="AY23" s="51"/>
      <c r="AZ23" s="51"/>
      <c r="BA23" s="51"/>
      <c r="BB23" s="790"/>
      <c r="BC23" s="51"/>
      <c r="BD23" s="51"/>
      <c r="BE23" s="51"/>
      <c r="BF23" s="51"/>
      <c r="BG23" s="51"/>
      <c r="BH23" s="51"/>
      <c r="BI23" s="51"/>
      <c r="BJ23" s="51"/>
      <c r="BK23" s="51"/>
      <c r="BL23" s="51"/>
      <c r="BM23" s="51"/>
      <c r="BN23" s="51"/>
      <c r="BO23" s="51"/>
      <c r="BP23" s="51"/>
      <c r="BQ23" s="51"/>
      <c r="BR23" s="51"/>
      <c r="BS23" s="51"/>
      <c r="BT23" s="51"/>
      <c r="BU23" s="51"/>
      <c r="BV23" s="51"/>
    </row>
    <row r="24" spans="1:74" s="347" customFormat="1" ht="47.4" customHeight="1" x14ac:dyDescent="0.75">
      <c r="A24" s="989"/>
      <c r="B24" s="831"/>
      <c r="C24" s="1148"/>
      <c r="D24" s="1149"/>
      <c r="E24" s="898" t="s">
        <v>443</v>
      </c>
      <c r="F24" s="1007"/>
      <c r="G24" s="349"/>
      <c r="H24" s="1007"/>
      <c r="I24" s="345"/>
      <c r="J24" s="345"/>
      <c r="K24" s="345"/>
      <c r="L24" s="345"/>
      <c r="M24" s="345"/>
      <c r="N24" s="345"/>
      <c r="O24" s="345"/>
      <c r="P24" s="345"/>
      <c r="Q24" s="345"/>
      <c r="R24" s="345"/>
      <c r="S24" s="345"/>
      <c r="T24" s="345"/>
      <c r="U24" s="345"/>
      <c r="V24" s="345"/>
      <c r="W24" s="345"/>
      <c r="X24" s="1212"/>
      <c r="Y24" s="345"/>
      <c r="Z24" s="345"/>
      <c r="AA24" s="345"/>
      <c r="AB24" s="345"/>
      <c r="AC24" s="345"/>
      <c r="AD24" s="345"/>
      <c r="AE24" s="345"/>
      <c r="AF24" s="345"/>
      <c r="AG24" s="345"/>
      <c r="AH24" s="345"/>
      <c r="AI24" s="345"/>
      <c r="AJ24" s="345"/>
      <c r="AK24" s="345"/>
      <c r="AL24" s="345"/>
      <c r="AM24" s="345"/>
      <c r="AN24" s="345"/>
      <c r="AO24" s="346"/>
      <c r="AP24" s="345"/>
      <c r="AQ24" s="345"/>
      <c r="AR24" s="346"/>
      <c r="AS24" s="346"/>
      <c r="AT24" s="346"/>
      <c r="AU24" s="346"/>
      <c r="AV24" s="346"/>
      <c r="AW24" s="687"/>
      <c r="AX24" s="346"/>
      <c r="AY24" s="346"/>
      <c r="AZ24" s="346"/>
      <c r="BA24" s="346"/>
      <c r="BB24" s="687"/>
      <c r="BC24" s="346"/>
      <c r="BD24" s="346"/>
      <c r="BE24" s="346"/>
      <c r="BF24" s="346"/>
      <c r="BG24" s="346"/>
      <c r="BH24" s="346"/>
      <c r="BI24" s="346"/>
      <c r="BJ24" s="346"/>
      <c r="BK24" s="346"/>
      <c r="BL24" s="346"/>
      <c r="BM24" s="346"/>
      <c r="BN24" s="346"/>
      <c r="BO24" s="346"/>
      <c r="BP24" s="346"/>
      <c r="BQ24" s="346"/>
      <c r="BR24" s="346"/>
      <c r="BS24" s="346"/>
      <c r="BT24" s="346"/>
      <c r="BU24" s="346"/>
      <c r="BV24" s="346"/>
    </row>
    <row r="25" spans="1:74" s="1286" customFormat="1" ht="48" customHeight="1" x14ac:dyDescent="0.4">
      <c r="A25" s="1284"/>
      <c r="B25" s="1141"/>
      <c r="C25" s="1285"/>
      <c r="D25" s="1143"/>
      <c r="E25" s="902" t="s">
        <v>444</v>
      </c>
      <c r="F25" s="1144"/>
      <c r="G25" s="1145"/>
      <c r="H25" s="1144"/>
      <c r="I25" s="1145"/>
      <c r="J25" s="1145"/>
      <c r="K25" s="1145"/>
      <c r="L25" s="1145"/>
      <c r="M25" s="1145"/>
      <c r="N25" s="1145"/>
      <c r="O25" s="1145"/>
      <c r="P25" s="1145"/>
      <c r="Q25" s="1145"/>
      <c r="R25" s="1145"/>
      <c r="S25" s="1145"/>
      <c r="T25" s="1145"/>
      <c r="U25" s="1145"/>
      <c r="V25" s="1145"/>
      <c r="W25" s="1145"/>
      <c r="X25" s="1146"/>
      <c r="Y25" s="1145"/>
      <c r="Z25" s="1145"/>
      <c r="AA25" s="1145"/>
      <c r="AB25" s="1145"/>
      <c r="AC25" s="1145"/>
      <c r="AD25" s="1145"/>
      <c r="AE25" s="1145"/>
      <c r="AF25" s="1145"/>
      <c r="AG25" s="1145"/>
      <c r="AH25" s="1145"/>
      <c r="AI25" s="1145"/>
      <c r="AJ25" s="1145"/>
      <c r="AK25" s="1145"/>
      <c r="AL25" s="1145"/>
      <c r="AM25" s="1145"/>
      <c r="AN25" s="1145"/>
      <c r="AO25" s="1145"/>
      <c r="AP25" s="1145"/>
      <c r="AQ25" s="1145"/>
      <c r="AR25" s="1145"/>
      <c r="AS25" s="1145"/>
      <c r="AT25" s="1145"/>
      <c r="AU25" s="1145"/>
      <c r="AV25" s="1145"/>
      <c r="AW25" s="1146"/>
      <c r="AX25" s="1145"/>
      <c r="AY25" s="1145"/>
      <c r="AZ25" s="1145"/>
      <c r="BA25" s="1145"/>
      <c r="BB25" s="1146"/>
      <c r="BC25" s="1145"/>
      <c r="BD25" s="1145"/>
      <c r="BE25" s="1145"/>
      <c r="BF25" s="1145"/>
      <c r="BG25" s="1145"/>
      <c r="BH25" s="1145"/>
      <c r="BI25" s="1145"/>
      <c r="BJ25" s="1145"/>
      <c r="BK25" s="1145"/>
      <c r="BL25" s="1145"/>
      <c r="BM25" s="1145"/>
      <c r="BN25" s="1145"/>
      <c r="BO25" s="1145"/>
      <c r="BP25" s="1145"/>
      <c r="BQ25" s="1145"/>
      <c r="BR25" s="1145"/>
      <c r="BS25" s="1145"/>
      <c r="BT25" s="1145"/>
      <c r="BU25" s="1145"/>
      <c r="BV25" s="1145"/>
    </row>
    <row r="26" spans="1:74" s="987" customFormat="1" ht="20.399999999999999" x14ac:dyDescent="0.4">
      <c r="A26" s="851"/>
      <c r="B26" s="832"/>
      <c r="C26" s="868"/>
      <c r="D26" s="887"/>
      <c r="E26" s="997"/>
      <c r="F26" s="1005"/>
      <c r="G26" s="995"/>
      <c r="H26" s="1005"/>
      <c r="I26" s="995"/>
      <c r="J26" s="995"/>
      <c r="K26" s="995"/>
      <c r="L26" s="995"/>
      <c r="M26" s="995"/>
      <c r="N26" s="995"/>
      <c r="O26" s="995"/>
      <c r="P26" s="995"/>
      <c r="Q26" s="995"/>
      <c r="R26" s="995"/>
      <c r="S26" s="995"/>
      <c r="T26" s="995"/>
      <c r="U26" s="995"/>
      <c r="V26" s="995"/>
      <c r="W26" s="995"/>
      <c r="X26" s="996"/>
      <c r="Y26" s="995"/>
      <c r="Z26" s="995"/>
      <c r="AA26" s="995"/>
      <c r="AB26" s="995"/>
      <c r="AC26" s="995"/>
      <c r="AD26" s="995"/>
      <c r="AE26" s="995"/>
      <c r="AF26" s="995"/>
      <c r="AG26" s="995"/>
      <c r="AH26" s="995"/>
      <c r="AI26" s="995"/>
      <c r="AJ26" s="995"/>
      <c r="AK26" s="995"/>
      <c r="AL26" s="995"/>
      <c r="AM26" s="995"/>
      <c r="AN26" s="995"/>
      <c r="AO26" s="995"/>
      <c r="AP26" s="995"/>
      <c r="AQ26" s="995"/>
      <c r="AR26" s="995"/>
      <c r="AS26" s="995"/>
      <c r="AT26" s="995"/>
      <c r="AU26" s="995"/>
      <c r="AV26" s="995"/>
      <c r="AW26" s="996"/>
      <c r="AX26" s="995"/>
      <c r="AY26" s="995"/>
      <c r="AZ26" s="995"/>
      <c r="BA26" s="995"/>
      <c r="BB26" s="996"/>
      <c r="BC26" s="995"/>
      <c r="BD26" s="995"/>
      <c r="BE26" s="995"/>
      <c r="BF26" s="995"/>
      <c r="BG26" s="995"/>
      <c r="BH26" s="995"/>
      <c r="BI26" s="995"/>
      <c r="BJ26" s="995"/>
      <c r="BK26" s="995"/>
      <c r="BL26" s="995"/>
      <c r="BM26" s="995"/>
      <c r="BN26" s="995"/>
      <c r="BO26" s="995"/>
      <c r="BP26" s="995"/>
      <c r="BQ26" s="995"/>
      <c r="BR26" s="995"/>
      <c r="BS26" s="995"/>
      <c r="BT26" s="995"/>
      <c r="BU26" s="995"/>
      <c r="BV26" s="995"/>
    </row>
    <row r="27" spans="1:74" x14ac:dyDescent="0.4">
      <c r="B27" s="833"/>
      <c r="C27" s="867" t="s">
        <v>44</v>
      </c>
      <c r="D27" s="884"/>
      <c r="E27" s="355" t="str">
        <f>$E$5</f>
        <v>Söguleg losun</v>
      </c>
      <c r="F27" s="94"/>
      <c r="G27" s="3" t="s">
        <v>330</v>
      </c>
      <c r="H27" s="94"/>
      <c r="I27" s="4"/>
      <c r="J27" s="5" t="s">
        <v>44</v>
      </c>
      <c r="K27" s="6"/>
      <c r="L27" s="7"/>
      <c r="M27" s="8"/>
      <c r="N27" s="6"/>
      <c r="O27" s="6"/>
      <c r="P27" s="6"/>
      <c r="Q27" s="6"/>
      <c r="R27" s="6"/>
      <c r="S27" s="6"/>
      <c r="T27" s="6"/>
      <c r="U27" s="6"/>
      <c r="V27" s="6"/>
      <c r="W27" s="6"/>
      <c r="X27" s="1074"/>
      <c r="Y27" s="6"/>
      <c r="Z27" s="6"/>
      <c r="AA27" s="6"/>
      <c r="AB27" s="6"/>
      <c r="AC27" s="6"/>
      <c r="AD27" s="6"/>
      <c r="AE27" s="6"/>
      <c r="AF27" s="6"/>
      <c r="AG27" s="6"/>
      <c r="AH27" s="6"/>
      <c r="AI27" s="6"/>
      <c r="AJ27" s="6"/>
      <c r="AK27" s="6"/>
      <c r="AL27" s="6"/>
      <c r="AM27" s="6"/>
      <c r="AN27" s="6"/>
      <c r="AO27" s="6"/>
      <c r="AP27" s="6"/>
      <c r="AQ27" s="6"/>
      <c r="AR27" s="6"/>
      <c r="AS27" s="6"/>
      <c r="AT27" s="9"/>
      <c r="AU27" s="9"/>
      <c r="AV27" s="9"/>
      <c r="AW27" s="688"/>
      <c r="AX27" s="9"/>
      <c r="AY27" s="9"/>
      <c r="AZ27" s="9"/>
      <c r="BA27" s="9"/>
      <c r="BB27" s="790"/>
      <c r="BC27" s="9"/>
      <c r="BD27" s="9"/>
      <c r="BE27" s="9"/>
      <c r="BF27" s="9"/>
      <c r="BG27" s="9"/>
      <c r="BH27" s="9"/>
      <c r="BI27" s="9"/>
      <c r="BJ27" s="9"/>
      <c r="BK27" s="9"/>
      <c r="BL27" s="9"/>
      <c r="BM27" s="9"/>
      <c r="BN27" s="9"/>
      <c r="BO27" s="9"/>
      <c r="BP27" s="9"/>
      <c r="BQ27" s="9"/>
      <c r="BR27" s="9"/>
      <c r="BS27" s="9"/>
      <c r="BT27" s="9"/>
      <c r="BU27" s="9"/>
      <c r="BV27" s="9"/>
    </row>
    <row r="28" spans="1:74" ht="18" customHeight="1" x14ac:dyDescent="0.4">
      <c r="B28" s="842" t="s">
        <v>46</v>
      </c>
      <c r="C28" s="866" t="s">
        <v>44</v>
      </c>
      <c r="D28" s="890" t="s">
        <v>44</v>
      </c>
      <c r="E28" s="11" t="s">
        <v>5</v>
      </c>
      <c r="F28" s="64"/>
      <c r="G28" s="10" t="s">
        <v>118</v>
      </c>
      <c r="H28" s="64"/>
      <c r="I28" s="11">
        <v>760.43743715697804</v>
      </c>
      <c r="J28" s="11">
        <v>738.54790545981575</v>
      </c>
      <c r="K28" s="11">
        <v>817.72261535831558</v>
      </c>
      <c r="L28" s="11">
        <v>875.35407857239727</v>
      </c>
      <c r="M28" s="11">
        <v>858.59988349043726</v>
      </c>
      <c r="N28" s="11">
        <v>921.58739468062106</v>
      </c>
      <c r="O28" s="11">
        <v>941.8355393211059</v>
      </c>
      <c r="P28" s="11">
        <v>928.43528249451151</v>
      </c>
      <c r="Q28" s="11">
        <v>913.7304185060168</v>
      </c>
      <c r="R28" s="11">
        <v>896.73666811718942</v>
      </c>
      <c r="S28" s="11">
        <v>891.62636675738338</v>
      </c>
      <c r="T28" s="11">
        <v>735.43512282644895</v>
      </c>
      <c r="U28" s="11">
        <v>833.44738299320807</v>
      </c>
      <c r="V28" s="11">
        <v>800.59763840041353</v>
      </c>
      <c r="W28" s="11">
        <v>822.10422373737845</v>
      </c>
      <c r="X28" s="704">
        <v>742.27579695757936</v>
      </c>
      <c r="Y28" s="11">
        <v>676.16624793131371</v>
      </c>
      <c r="Z28" s="11">
        <v>768.90031104164586</v>
      </c>
      <c r="AA28" s="11">
        <v>706.67813037021858</v>
      </c>
      <c r="AB28" s="11">
        <v>762.70393720745039</v>
      </c>
      <c r="AC28" s="11">
        <v>726.56824505484042</v>
      </c>
      <c r="AD28" s="11">
        <v>657.20260984912954</v>
      </c>
      <c r="AE28" s="11">
        <v>651.37378056662806</v>
      </c>
      <c r="AF28" s="11">
        <v>614.72353826059737</v>
      </c>
      <c r="AG28" s="11">
        <v>606.24731041801465</v>
      </c>
      <c r="AH28" s="11">
        <v>621.21740588116916</v>
      </c>
      <c r="AI28" s="11">
        <v>518.76690503112491</v>
      </c>
      <c r="AJ28" s="11">
        <v>530.38142924834813</v>
      </c>
      <c r="AK28" s="11">
        <v>546.90019133575004</v>
      </c>
      <c r="AL28" s="11">
        <v>518.36261174209733</v>
      </c>
      <c r="AM28" s="11">
        <v>509.49421478812258</v>
      </c>
      <c r="AN28" s="11">
        <v>569.42147138918847</v>
      </c>
      <c r="AO28" s="11">
        <v>480.50043943615663</v>
      </c>
      <c r="AP28" s="11">
        <v>485.3352147538011</v>
      </c>
      <c r="AQ28" s="11">
        <v>520.01881128620573</v>
      </c>
      <c r="AR28" s="11">
        <v>482.07188977314064</v>
      </c>
      <c r="AS28" s="12"/>
      <c r="AT28" s="12"/>
      <c r="AU28" s="12"/>
      <c r="AV28" s="12"/>
      <c r="AW28" s="689"/>
      <c r="AX28" s="12"/>
      <c r="AY28" s="12"/>
      <c r="AZ28" s="12"/>
      <c r="BA28" s="12"/>
      <c r="BB28" s="791"/>
      <c r="BC28" s="12"/>
      <c r="BD28" s="12"/>
      <c r="BE28" s="12"/>
      <c r="BF28" s="12"/>
      <c r="BG28" s="12"/>
      <c r="BH28" s="12"/>
      <c r="BI28" s="12"/>
      <c r="BJ28" s="12"/>
      <c r="BK28" s="12"/>
      <c r="BL28" s="12"/>
      <c r="BM28" s="12"/>
      <c r="BN28" s="12"/>
      <c r="BO28" s="12"/>
      <c r="BP28" s="12"/>
      <c r="BQ28" s="12"/>
      <c r="BR28" s="12"/>
      <c r="BS28" s="12"/>
      <c r="BT28" s="12"/>
      <c r="BU28" s="12"/>
      <c r="BV28" s="12"/>
    </row>
    <row r="29" spans="1:74" ht="18" customHeight="1" x14ac:dyDescent="0.4">
      <c r="B29" s="842" t="s">
        <v>47</v>
      </c>
      <c r="C29" s="1002" t="s">
        <v>44</v>
      </c>
      <c r="D29" s="890"/>
      <c r="E29" s="11" t="s">
        <v>6</v>
      </c>
      <c r="F29" s="64"/>
      <c r="G29" s="10" t="s">
        <v>138</v>
      </c>
      <c r="H29" s="64"/>
      <c r="I29" s="11">
        <v>531.22135287801859</v>
      </c>
      <c r="J29" s="11">
        <v>549.73922233056999</v>
      </c>
      <c r="K29" s="11">
        <v>564.10322606237207</v>
      </c>
      <c r="L29" s="11">
        <v>560.82125209413766</v>
      </c>
      <c r="M29" s="11">
        <v>568.71975437287563</v>
      </c>
      <c r="N29" s="11">
        <v>558.39928539026232</v>
      </c>
      <c r="O29" s="11">
        <v>538.90124821929692</v>
      </c>
      <c r="P29" s="11">
        <v>570.14166117824288</v>
      </c>
      <c r="Q29" s="11">
        <v>578.21954693434816</v>
      </c>
      <c r="R29" s="11">
        <v>603.81835985278224</v>
      </c>
      <c r="S29" s="11">
        <v>615.19124112849386</v>
      </c>
      <c r="T29" s="11">
        <v>621.43794664753909</v>
      </c>
      <c r="U29" s="11">
        <v>630.07589891197915</v>
      </c>
      <c r="V29" s="11">
        <v>708.59649022597102</v>
      </c>
      <c r="W29" s="11">
        <v>744.98998559072106</v>
      </c>
      <c r="X29" s="704">
        <v>772.96720116217978</v>
      </c>
      <c r="Y29" s="11">
        <v>882.31132379605481</v>
      </c>
      <c r="Z29" s="11">
        <v>913.83614619722141</v>
      </c>
      <c r="AA29" s="11">
        <v>860.22323028213884</v>
      </c>
      <c r="AB29" s="11">
        <v>861.21528928281407</v>
      </c>
      <c r="AC29" s="11">
        <v>813.89802161205967</v>
      </c>
      <c r="AD29" s="11">
        <v>795.69099258781853</v>
      </c>
      <c r="AE29" s="11">
        <v>790.44455922423981</v>
      </c>
      <c r="AF29" s="11">
        <v>805.1705823155595</v>
      </c>
      <c r="AG29" s="11">
        <v>804.98232350461672</v>
      </c>
      <c r="AH29" s="11">
        <v>828.27095982461969</v>
      </c>
      <c r="AI29" s="11">
        <v>904.74762539415917</v>
      </c>
      <c r="AJ29" s="11">
        <v>955.78975219982249</v>
      </c>
      <c r="AK29" s="11">
        <v>983.0091585136197</v>
      </c>
      <c r="AL29" s="11">
        <v>963.43113685715196</v>
      </c>
      <c r="AM29" s="11">
        <v>836.92654422903922</v>
      </c>
      <c r="AN29" s="11">
        <v>866.31820877820041</v>
      </c>
      <c r="AO29" s="11">
        <v>933.32556342634609</v>
      </c>
      <c r="AP29" s="11">
        <v>928.55777773719262</v>
      </c>
      <c r="AQ29" s="11">
        <v>905.50742448156166</v>
      </c>
      <c r="AR29" s="11">
        <v>917.25938476071508</v>
      </c>
      <c r="AS29" s="12"/>
      <c r="AT29" s="12"/>
      <c r="AU29" s="12"/>
      <c r="AV29" s="12"/>
      <c r="AW29" s="689"/>
      <c r="AX29" s="12"/>
      <c r="AY29" s="12"/>
      <c r="AZ29" s="12"/>
      <c r="BA29" s="12"/>
      <c r="BB29" s="791"/>
      <c r="BC29" s="12"/>
      <c r="BD29" s="12"/>
      <c r="BE29" s="12"/>
      <c r="BF29" s="12"/>
      <c r="BG29" s="12"/>
      <c r="BH29" s="12"/>
      <c r="BI29" s="12"/>
      <c r="BJ29" s="12"/>
      <c r="BK29" s="12"/>
      <c r="BL29" s="12"/>
      <c r="BM29" s="12"/>
      <c r="BN29" s="12"/>
      <c r="BO29" s="12"/>
      <c r="BP29" s="12"/>
      <c r="BQ29" s="12"/>
      <c r="BR29" s="12"/>
      <c r="BS29" s="12"/>
      <c r="BT29" s="12"/>
      <c r="BU29" s="12"/>
      <c r="BV29" s="12"/>
    </row>
    <row r="30" spans="1:74" ht="18" customHeight="1" x14ac:dyDescent="0.4">
      <c r="B30" s="842" t="s">
        <v>51</v>
      </c>
      <c r="C30" s="1002" t="s">
        <v>44</v>
      </c>
      <c r="D30" s="890"/>
      <c r="E30" s="11" t="s">
        <v>10</v>
      </c>
      <c r="F30" s="64"/>
      <c r="G30" s="10" t="s">
        <v>121</v>
      </c>
      <c r="H30" s="64"/>
      <c r="I30" s="11">
        <v>61.065589642877526</v>
      </c>
      <c r="J30" s="11">
        <v>69.64508735406244</v>
      </c>
      <c r="K30" s="11">
        <v>67.282432396869979</v>
      </c>
      <c r="L30" s="11">
        <v>85.063792469926852</v>
      </c>
      <c r="M30" s="11">
        <v>69.810048261690142</v>
      </c>
      <c r="N30" s="11">
        <v>82.300329775140781</v>
      </c>
      <c r="O30" s="11">
        <v>81.375379452684783</v>
      </c>
      <c r="P30" s="11">
        <v>66.981909239667516</v>
      </c>
      <c r="Q30" s="11">
        <v>84.128774259520654</v>
      </c>
      <c r="R30" s="11">
        <v>112.12388902349248</v>
      </c>
      <c r="S30" s="11">
        <v>154.14036400492714</v>
      </c>
      <c r="T30" s="11">
        <v>144.88444962773332</v>
      </c>
      <c r="U30" s="11">
        <v>148.49338607446219</v>
      </c>
      <c r="V30" s="11">
        <v>137.40319231256251</v>
      </c>
      <c r="W30" s="11">
        <v>124.03082392622254</v>
      </c>
      <c r="X30" s="704">
        <v>119.26047094208158</v>
      </c>
      <c r="Y30" s="11">
        <v>129.44840884767729</v>
      </c>
      <c r="Z30" s="11">
        <v>150.13672395880565</v>
      </c>
      <c r="AA30" s="11">
        <v>188.7494684116991</v>
      </c>
      <c r="AB30" s="11">
        <v>172.64175584137766</v>
      </c>
      <c r="AC30" s="11">
        <v>194.72300000000001</v>
      </c>
      <c r="AD30" s="11">
        <v>183.37799999999999</v>
      </c>
      <c r="AE30" s="11">
        <v>175.06768</v>
      </c>
      <c r="AF30" s="11">
        <v>176.928</v>
      </c>
      <c r="AG30" s="11">
        <v>206.00103132749297</v>
      </c>
      <c r="AH30" s="11">
        <v>172.26500096927683</v>
      </c>
      <c r="AI30" s="11">
        <v>162.99524576158018</v>
      </c>
      <c r="AJ30" s="11">
        <v>151.91344102803788</v>
      </c>
      <c r="AK30" s="11">
        <v>164.66100135548007</v>
      </c>
      <c r="AL30" s="11">
        <v>175.37661233554124</v>
      </c>
      <c r="AM30" s="11">
        <v>177.2397261242881</v>
      </c>
      <c r="AN30" s="11">
        <v>166.22976688024966</v>
      </c>
      <c r="AO30" s="11">
        <v>177.8928390442361</v>
      </c>
      <c r="AP30" s="11">
        <v>176.6385789664966</v>
      </c>
      <c r="AQ30" s="11">
        <v>223.29619818990452</v>
      </c>
      <c r="AR30" s="11">
        <v>214.07609476451782</v>
      </c>
      <c r="AS30" s="12"/>
      <c r="AT30" s="12"/>
      <c r="AU30" s="12"/>
      <c r="AV30" s="12"/>
      <c r="AW30" s="689"/>
      <c r="AX30" s="12"/>
      <c r="AY30" s="12"/>
      <c r="AZ30" s="12"/>
      <c r="BA30" s="12"/>
      <c r="BB30" s="791"/>
      <c r="BC30" s="12"/>
      <c r="BD30" s="12"/>
      <c r="BE30" s="12"/>
      <c r="BF30" s="12"/>
      <c r="BG30" s="12"/>
      <c r="BH30" s="12"/>
      <c r="BI30" s="12"/>
      <c r="BJ30" s="12"/>
      <c r="BK30" s="12"/>
      <c r="BL30" s="12"/>
      <c r="BM30" s="12"/>
      <c r="BN30" s="12"/>
      <c r="BO30" s="12"/>
      <c r="BP30" s="12"/>
      <c r="BQ30" s="12"/>
      <c r="BR30" s="12"/>
      <c r="BS30" s="12"/>
      <c r="BT30" s="12"/>
      <c r="BU30" s="12"/>
      <c r="BV30" s="12"/>
    </row>
    <row r="31" spans="1:74" ht="18" customHeight="1" x14ac:dyDescent="0.4">
      <c r="B31" s="842" t="s">
        <v>54</v>
      </c>
      <c r="C31" s="1002" t="s">
        <v>44</v>
      </c>
      <c r="D31" s="890"/>
      <c r="E31" s="11" t="s">
        <v>15</v>
      </c>
      <c r="F31" s="64"/>
      <c r="G31" s="10" t="s">
        <v>136</v>
      </c>
      <c r="H31" s="64"/>
      <c r="I31" s="11">
        <v>584.02647277080598</v>
      </c>
      <c r="J31" s="11">
        <v>511.273947602943</v>
      </c>
      <c r="K31" s="11">
        <v>301.38514547007009</v>
      </c>
      <c r="L31" s="11">
        <v>220.97402310838271</v>
      </c>
      <c r="M31" s="11">
        <v>198.23658153612337</v>
      </c>
      <c r="N31" s="11">
        <v>216.34383922975644</v>
      </c>
      <c r="O31" s="11">
        <v>186.93379884741088</v>
      </c>
      <c r="P31" s="11">
        <v>280.12409822292682</v>
      </c>
      <c r="Q31" s="11">
        <v>462.00564836059743</v>
      </c>
      <c r="R31" s="11">
        <v>537.93035391162721</v>
      </c>
      <c r="S31" s="11">
        <v>487.74535268246626</v>
      </c>
      <c r="T31" s="11">
        <v>479.60292131211997</v>
      </c>
      <c r="U31" s="11">
        <v>478.11541899358679</v>
      </c>
      <c r="V31" s="11">
        <v>473.56894969857348</v>
      </c>
      <c r="W31" s="11">
        <v>456.78557352619629</v>
      </c>
      <c r="X31" s="704">
        <v>444.80851616708713</v>
      </c>
      <c r="Y31" s="11">
        <v>869.57185988485026</v>
      </c>
      <c r="Z31" s="11">
        <v>990.98126629758121</v>
      </c>
      <c r="AA31" s="11">
        <v>1556.7584922170536</v>
      </c>
      <c r="AB31" s="11">
        <v>1393.4018646112659</v>
      </c>
      <c r="AC31" s="11">
        <v>1391.9209450624717</v>
      </c>
      <c r="AD31" s="11">
        <v>1281.3105455922127</v>
      </c>
      <c r="AE31" s="11">
        <v>1328.7342410906138</v>
      </c>
      <c r="AF31" s="11">
        <v>1353.4714335748733</v>
      </c>
      <c r="AG31" s="11">
        <v>1368.5549133196287</v>
      </c>
      <c r="AH31" s="11">
        <v>1392.8009611325194</v>
      </c>
      <c r="AI31" s="11">
        <v>1354.0817500285532</v>
      </c>
      <c r="AJ31" s="11">
        <v>1385.559079923195</v>
      </c>
      <c r="AK31" s="11">
        <v>1382.5326490562106</v>
      </c>
      <c r="AL31" s="11">
        <v>1348.3578754895577</v>
      </c>
      <c r="AM31" s="11">
        <v>1328.8493581323712</v>
      </c>
      <c r="AN31" s="11">
        <v>1345.5222697586937</v>
      </c>
      <c r="AO31" s="11">
        <v>1354.2007303406649</v>
      </c>
      <c r="AP31" s="11">
        <v>1402.6496416686878</v>
      </c>
      <c r="AQ31" s="11">
        <v>1360.4116549515916</v>
      </c>
      <c r="AR31" s="11">
        <v>1290.3163042728158</v>
      </c>
      <c r="AS31" s="12"/>
      <c r="AT31" s="12"/>
      <c r="AU31" s="12"/>
      <c r="AV31" s="12"/>
      <c r="AW31" s="689"/>
      <c r="AX31" s="12"/>
      <c r="AY31" s="12"/>
      <c r="AZ31" s="12"/>
      <c r="BA31" s="12"/>
      <c r="BB31" s="791"/>
      <c r="BC31" s="12"/>
      <c r="BD31" s="12"/>
      <c r="BE31" s="12"/>
      <c r="BF31" s="12"/>
      <c r="BG31" s="12"/>
      <c r="BH31" s="12"/>
      <c r="BI31" s="12"/>
      <c r="BJ31" s="12"/>
      <c r="BK31" s="12"/>
      <c r="BL31" s="12"/>
      <c r="BM31" s="12"/>
      <c r="BN31" s="12"/>
      <c r="BO31" s="12"/>
      <c r="BP31" s="12"/>
      <c r="BQ31" s="12"/>
      <c r="BR31" s="12"/>
      <c r="BS31" s="12"/>
      <c r="BT31" s="12"/>
      <c r="BU31" s="12"/>
      <c r="BV31" s="12"/>
    </row>
    <row r="32" spans="1:74" ht="18" customHeight="1" x14ac:dyDescent="0.4">
      <c r="B32" s="842" t="s">
        <v>192</v>
      </c>
      <c r="C32" s="1002" t="s">
        <v>44</v>
      </c>
      <c r="D32" s="890"/>
      <c r="E32" s="11" t="s">
        <v>35</v>
      </c>
      <c r="F32" s="64" t="s">
        <v>44</v>
      </c>
      <c r="G32" s="10" t="s">
        <v>137</v>
      </c>
      <c r="H32" s="64" t="s">
        <v>44</v>
      </c>
      <c r="I32" s="11">
        <v>210.55472170666667</v>
      </c>
      <c r="J32" s="11">
        <v>176.80528261706669</v>
      </c>
      <c r="K32" s="11">
        <v>188.28332888506671</v>
      </c>
      <c r="L32" s="11">
        <v>238.53559058533338</v>
      </c>
      <c r="M32" s="11">
        <v>232.49217533253338</v>
      </c>
      <c r="N32" s="11">
        <v>245.96401927226665</v>
      </c>
      <c r="O32" s="11">
        <v>235.22782835253332</v>
      </c>
      <c r="P32" s="11">
        <v>257.17700316373333</v>
      </c>
      <c r="Q32" s="11">
        <v>198.58720348560001</v>
      </c>
      <c r="R32" s="11">
        <v>257.83106455839999</v>
      </c>
      <c r="S32" s="11">
        <v>365.65036656475536</v>
      </c>
      <c r="T32" s="11">
        <v>386.08921316544843</v>
      </c>
      <c r="U32" s="11">
        <v>403.9326403148857</v>
      </c>
      <c r="V32" s="11">
        <v>402.47385277209037</v>
      </c>
      <c r="W32" s="11">
        <v>401.96736076842336</v>
      </c>
      <c r="X32" s="704">
        <v>379.94289400640002</v>
      </c>
      <c r="Y32" s="11">
        <v>381.71962690880008</v>
      </c>
      <c r="Z32" s="11">
        <v>401.35289110400004</v>
      </c>
      <c r="AA32" s="11">
        <v>351.97302632799995</v>
      </c>
      <c r="AB32" s="11">
        <v>353.3588710624</v>
      </c>
      <c r="AC32" s="11">
        <v>372.56202565120009</v>
      </c>
      <c r="AD32" s="11">
        <v>380.41566972484713</v>
      </c>
      <c r="AE32" s="11">
        <v>413.43718523066929</v>
      </c>
      <c r="AF32" s="11">
        <v>409.5077919157888</v>
      </c>
      <c r="AG32" s="11">
        <v>371.44549117182407</v>
      </c>
      <c r="AH32" s="11">
        <v>404.22007331306247</v>
      </c>
      <c r="AI32" s="11">
        <v>408.51819724381278</v>
      </c>
      <c r="AJ32" s="11">
        <v>431.82186025965422</v>
      </c>
      <c r="AK32" s="11">
        <v>455.77922710046619</v>
      </c>
      <c r="AL32" s="11">
        <v>432.40627007368806</v>
      </c>
      <c r="AM32" s="11">
        <v>418.71234892799322</v>
      </c>
      <c r="AN32" s="11">
        <v>476.02459170932525</v>
      </c>
      <c r="AO32" s="11">
        <v>517.72039053568767</v>
      </c>
      <c r="AP32" s="11">
        <v>408.20430474231654</v>
      </c>
      <c r="AQ32" s="11">
        <v>527.31915978550001</v>
      </c>
      <c r="AR32" s="11">
        <v>384.34514535840748</v>
      </c>
      <c r="AS32" s="12"/>
      <c r="AT32" s="12"/>
      <c r="AU32" s="12"/>
      <c r="AV32" s="12"/>
      <c r="AW32" s="689"/>
      <c r="AX32" s="12"/>
      <c r="AY32" s="12"/>
      <c r="AZ32" s="12"/>
      <c r="BA32" s="12"/>
      <c r="BB32" s="791"/>
      <c r="BC32" s="12"/>
      <c r="BD32" s="12"/>
      <c r="BE32" s="12"/>
      <c r="BF32" s="12"/>
      <c r="BG32" s="12"/>
      <c r="BH32" s="12"/>
      <c r="BI32" s="12"/>
      <c r="BJ32" s="12"/>
      <c r="BK32" s="12"/>
      <c r="BL32" s="12"/>
      <c r="BM32" s="12"/>
      <c r="BN32" s="12"/>
      <c r="BO32" s="12"/>
      <c r="BP32" s="12"/>
      <c r="BQ32" s="12"/>
      <c r="BR32" s="12"/>
      <c r="BS32" s="12"/>
      <c r="BT32" s="12"/>
      <c r="BU32" s="12"/>
      <c r="BV32" s="12"/>
    </row>
    <row r="33" spans="1:74" ht="18" customHeight="1" x14ac:dyDescent="0.4">
      <c r="B33" s="842" t="s">
        <v>40</v>
      </c>
      <c r="C33" s="1002" t="s">
        <v>44</v>
      </c>
      <c r="D33" s="890"/>
      <c r="E33" s="11" t="s">
        <v>2</v>
      </c>
      <c r="F33" s="64" t="s">
        <v>44</v>
      </c>
      <c r="G33" s="10" t="s">
        <v>111</v>
      </c>
      <c r="H33" s="64" t="s">
        <v>44</v>
      </c>
      <c r="I33" s="11">
        <v>721.77082797684568</v>
      </c>
      <c r="J33" s="11">
        <v>712.02461235206624</v>
      </c>
      <c r="K33" s="11">
        <v>689.23634472800643</v>
      </c>
      <c r="L33" s="11">
        <v>694.36308688563315</v>
      </c>
      <c r="M33" s="11">
        <v>703.10145786337523</v>
      </c>
      <c r="N33" s="11">
        <v>687.33740948466505</v>
      </c>
      <c r="O33" s="11">
        <v>702.02443450140868</v>
      </c>
      <c r="P33" s="11">
        <v>702.66889123131955</v>
      </c>
      <c r="Q33" s="11">
        <v>717.87852954257153</v>
      </c>
      <c r="R33" s="11">
        <v>717.6675292988898</v>
      </c>
      <c r="S33" s="11">
        <v>703.92059749345424</v>
      </c>
      <c r="T33" s="11">
        <v>704.00709173836321</v>
      </c>
      <c r="U33" s="11">
        <v>689.11793826308349</v>
      </c>
      <c r="V33" s="11">
        <v>682.99811253177313</v>
      </c>
      <c r="W33" s="11">
        <v>681.20675392270903</v>
      </c>
      <c r="X33" s="704">
        <v>686.28519341898311</v>
      </c>
      <c r="Y33" s="11">
        <v>713.27916075697351</v>
      </c>
      <c r="Z33" s="11">
        <v>730.96270564890381</v>
      </c>
      <c r="AA33" s="11">
        <v>747.74759930352434</v>
      </c>
      <c r="AB33" s="11">
        <v>734.57445224587002</v>
      </c>
      <c r="AC33" s="11">
        <v>722.38276175524891</v>
      </c>
      <c r="AD33" s="11">
        <v>719.40818265295684</v>
      </c>
      <c r="AE33" s="11">
        <v>713.8355868844144</v>
      </c>
      <c r="AF33" s="11">
        <v>705.01994525796056</v>
      </c>
      <c r="AG33" s="11">
        <v>744.15639330645411</v>
      </c>
      <c r="AH33" s="11">
        <v>734.06322093296922</v>
      </c>
      <c r="AI33" s="11">
        <v>731.54313779732206</v>
      </c>
      <c r="AJ33" s="11">
        <v>734.99081320707012</v>
      </c>
      <c r="AK33" s="11">
        <v>712.0887178357043</v>
      </c>
      <c r="AL33" s="11">
        <v>696.98270903435753</v>
      </c>
      <c r="AM33" s="11">
        <v>693.96407628592169</v>
      </c>
      <c r="AN33" s="11">
        <v>698.15015133017482</v>
      </c>
      <c r="AO33" s="11">
        <v>690.03480363759775</v>
      </c>
      <c r="AP33" s="11">
        <v>667.46610440740528</v>
      </c>
      <c r="AQ33" s="11">
        <v>668.7584145388447</v>
      </c>
      <c r="AR33" s="11">
        <v>668.34042724521601</v>
      </c>
      <c r="AS33" s="12"/>
      <c r="AT33" s="12"/>
      <c r="AU33" s="12"/>
      <c r="AV33" s="12"/>
      <c r="AW33" s="689"/>
      <c r="AX33" s="12"/>
      <c r="AY33" s="12"/>
      <c r="AZ33" s="12"/>
      <c r="BA33" s="12"/>
      <c r="BB33" s="791"/>
      <c r="BC33" s="12"/>
      <c r="BD33" s="12"/>
      <c r="BE33" s="12"/>
      <c r="BF33" s="12"/>
      <c r="BG33" s="12"/>
      <c r="BH33" s="12"/>
      <c r="BI33" s="12"/>
      <c r="BJ33" s="12"/>
      <c r="BK33" s="12"/>
      <c r="BL33" s="12"/>
      <c r="BM33" s="12"/>
      <c r="BN33" s="12"/>
      <c r="BO33" s="12"/>
      <c r="BP33" s="12"/>
      <c r="BQ33" s="12"/>
      <c r="BR33" s="12"/>
      <c r="BS33" s="12"/>
      <c r="BT33" s="12"/>
      <c r="BU33" s="12"/>
      <c r="BV33" s="12"/>
    </row>
    <row r="34" spans="1:74" ht="18" customHeight="1" x14ac:dyDescent="0.4">
      <c r="B34" s="842" t="s">
        <v>42</v>
      </c>
      <c r="C34" s="1002" t="s">
        <v>44</v>
      </c>
      <c r="D34" s="890"/>
      <c r="E34" s="11" t="s">
        <v>1</v>
      </c>
      <c r="F34" s="64"/>
      <c r="G34" s="10" t="s">
        <v>112</v>
      </c>
      <c r="H34" s="64"/>
      <c r="I34" s="11">
        <v>214.55104804070371</v>
      </c>
      <c r="J34" s="11">
        <v>218.73214527671695</v>
      </c>
      <c r="K34" s="11">
        <v>232.018264495739</v>
      </c>
      <c r="L34" s="11">
        <v>242.76590303554312</v>
      </c>
      <c r="M34" s="11">
        <v>250.46480024460189</v>
      </c>
      <c r="N34" s="11">
        <v>260.98909779807474</v>
      </c>
      <c r="O34" s="11">
        <v>271.3079191531819</v>
      </c>
      <c r="P34" s="11">
        <v>281.64235932716178</v>
      </c>
      <c r="Q34" s="11">
        <v>280.33273075718171</v>
      </c>
      <c r="R34" s="11">
        <v>286.55961884960243</v>
      </c>
      <c r="S34" s="11">
        <v>296.21338278213955</v>
      </c>
      <c r="T34" s="11">
        <v>306.38023802044972</v>
      </c>
      <c r="U34" s="11">
        <v>298.75994925990472</v>
      </c>
      <c r="V34" s="11">
        <v>302.63402712426671</v>
      </c>
      <c r="W34" s="11">
        <v>321.62844872162674</v>
      </c>
      <c r="X34" s="704">
        <v>313.96485258104229</v>
      </c>
      <c r="Y34" s="11">
        <v>336.67456223328463</v>
      </c>
      <c r="Z34" s="11">
        <v>340.40470115570582</v>
      </c>
      <c r="AA34" s="11">
        <v>322.50639991392791</v>
      </c>
      <c r="AB34" s="11">
        <v>312.28250739199927</v>
      </c>
      <c r="AC34" s="11">
        <v>308.53384160935076</v>
      </c>
      <c r="AD34" s="11">
        <v>289.49282699573916</v>
      </c>
      <c r="AE34" s="11">
        <v>269.98009062140324</v>
      </c>
      <c r="AF34" s="11">
        <v>268.96715816511937</v>
      </c>
      <c r="AG34" s="11">
        <v>268.51900989163761</v>
      </c>
      <c r="AH34" s="11">
        <v>268.22689895721999</v>
      </c>
      <c r="AI34" s="11">
        <v>263.50757972596665</v>
      </c>
      <c r="AJ34" s="11">
        <v>261.55300486381907</v>
      </c>
      <c r="AK34" s="11">
        <v>260.70105450881061</v>
      </c>
      <c r="AL34" s="11">
        <v>236.17080007645575</v>
      </c>
      <c r="AM34" s="11">
        <v>262.96794933123755</v>
      </c>
      <c r="AN34" s="11">
        <v>271.97276965894605</v>
      </c>
      <c r="AO34" s="11">
        <v>262.27616775923457</v>
      </c>
      <c r="AP34" s="11">
        <v>253.83879543542301</v>
      </c>
      <c r="AQ34" s="11">
        <v>239.38580632707041</v>
      </c>
      <c r="AR34" s="11">
        <v>222.59190359498734</v>
      </c>
      <c r="AS34" s="12"/>
      <c r="AT34" s="12"/>
      <c r="AU34" s="12"/>
      <c r="AV34" s="12"/>
      <c r="AW34" s="689"/>
      <c r="AX34" s="12"/>
      <c r="AY34" s="12"/>
      <c r="AZ34" s="12"/>
      <c r="BA34" s="12"/>
      <c r="BB34" s="791"/>
      <c r="BC34" s="12"/>
      <c r="BD34" s="12"/>
      <c r="BE34" s="12"/>
      <c r="BF34" s="12"/>
      <c r="BG34" s="12"/>
      <c r="BH34" s="12"/>
      <c r="BI34" s="12"/>
      <c r="BJ34" s="12"/>
      <c r="BK34" s="12"/>
      <c r="BL34" s="12"/>
      <c r="BM34" s="12"/>
      <c r="BN34" s="12"/>
      <c r="BO34" s="12"/>
      <c r="BP34" s="12"/>
      <c r="BQ34" s="12"/>
      <c r="BR34" s="12"/>
      <c r="BS34" s="12"/>
      <c r="BT34" s="12"/>
      <c r="BU34" s="12"/>
      <c r="BV34" s="12"/>
    </row>
    <row r="35" spans="1:74" ht="18" customHeight="1" x14ac:dyDescent="0.4">
      <c r="B35" s="833" t="s">
        <v>86</v>
      </c>
      <c r="C35" s="1002" t="s">
        <v>44</v>
      </c>
      <c r="E35" s="22" t="s">
        <v>23</v>
      </c>
      <c r="F35" s="1008"/>
      <c r="G35" s="10" t="s">
        <v>164</v>
      </c>
      <c r="H35" s="1008"/>
      <c r="I35" s="23">
        <f t="shared" ref="I35:AR35" si="2">I$36-SUM(I28:I34)</f>
        <v>595.43585379600381</v>
      </c>
      <c r="J35" s="23">
        <f t="shared" si="2"/>
        <v>499.64311079065328</v>
      </c>
      <c r="K35" s="23">
        <f t="shared" si="2"/>
        <v>544.51456515352947</v>
      </c>
      <c r="L35" s="23">
        <f t="shared" si="2"/>
        <v>573.80557527177552</v>
      </c>
      <c r="M35" s="23">
        <f t="shared" si="2"/>
        <v>544.77901211566177</v>
      </c>
      <c r="N35" s="23">
        <f t="shared" si="2"/>
        <v>585.23997257143492</v>
      </c>
      <c r="O35" s="23">
        <f t="shared" si="2"/>
        <v>658.01961532198038</v>
      </c>
      <c r="P35" s="23">
        <f t="shared" si="2"/>
        <v>698.19196335976903</v>
      </c>
      <c r="Q35" s="23">
        <f t="shared" si="2"/>
        <v>693.9753830994282</v>
      </c>
      <c r="R35" s="23">
        <f t="shared" si="2"/>
        <v>732.67169784445559</v>
      </c>
      <c r="S35" s="23">
        <f t="shared" si="2"/>
        <v>661.83142064478761</v>
      </c>
      <c r="T35" s="23">
        <f t="shared" si="2"/>
        <v>696.38071350770406</v>
      </c>
      <c r="U35" s="23">
        <f t="shared" si="2"/>
        <v>667.45130071889662</v>
      </c>
      <c r="V35" s="23">
        <f t="shared" si="2"/>
        <v>615.3981904404227</v>
      </c>
      <c r="W35" s="23">
        <f t="shared" si="2"/>
        <v>695.04816572717073</v>
      </c>
      <c r="X35" s="703">
        <f t="shared" si="2"/>
        <v>647.98173115350437</v>
      </c>
      <c r="Y35" s="23">
        <f t="shared" si="2"/>
        <v>676.45312246874801</v>
      </c>
      <c r="Z35" s="23">
        <f t="shared" si="2"/>
        <v>676.36135217069477</v>
      </c>
      <c r="AA35" s="23">
        <f t="shared" si="2"/>
        <v>619.99988719647627</v>
      </c>
      <c r="AB35" s="23">
        <f t="shared" si="2"/>
        <v>458.76209114447465</v>
      </c>
      <c r="AC35" s="23">
        <f t="shared" si="2"/>
        <v>421.60019334466415</v>
      </c>
      <c r="AD35" s="23">
        <f t="shared" si="2"/>
        <v>432.16501188486473</v>
      </c>
      <c r="AE35" s="23">
        <f t="shared" si="2"/>
        <v>390.36889055582924</v>
      </c>
      <c r="AF35" s="23">
        <f t="shared" si="2"/>
        <v>402.90926303947163</v>
      </c>
      <c r="AG35" s="23">
        <f t="shared" si="2"/>
        <v>388.03792730949954</v>
      </c>
      <c r="AH35" s="23">
        <f t="shared" si="2"/>
        <v>407.07912689570912</v>
      </c>
      <c r="AI35" s="23">
        <f t="shared" si="2"/>
        <v>441.669515267512</v>
      </c>
      <c r="AJ35" s="23">
        <f t="shared" si="2"/>
        <v>416.48935882705882</v>
      </c>
      <c r="AK35" s="23">
        <f t="shared" si="2"/>
        <v>425.68134752089099</v>
      </c>
      <c r="AL35" s="23">
        <f t="shared" si="2"/>
        <v>419.6563728479905</v>
      </c>
      <c r="AM35" s="23">
        <f t="shared" si="2"/>
        <v>357.15635960281179</v>
      </c>
      <c r="AN35" s="23">
        <f t="shared" si="2"/>
        <v>330.55217459222149</v>
      </c>
      <c r="AO35" s="23">
        <f t="shared" si="2"/>
        <v>367.90930943140484</v>
      </c>
      <c r="AP35" s="23">
        <f t="shared" si="2"/>
        <v>327.55129648915681</v>
      </c>
      <c r="AQ35" s="23">
        <f t="shared" si="2"/>
        <v>337.3970150312025</v>
      </c>
      <c r="AR35" s="23">
        <f t="shared" si="2"/>
        <v>310.41377703770377</v>
      </c>
      <c r="AS35" s="12"/>
      <c r="AT35" s="12"/>
      <c r="AU35" s="12"/>
      <c r="AV35" s="12"/>
      <c r="AW35" s="689"/>
      <c r="AX35" s="12"/>
      <c r="AY35" s="12"/>
      <c r="AZ35" s="12"/>
      <c r="BA35" s="12"/>
      <c r="BB35" s="791"/>
      <c r="BC35" s="12"/>
      <c r="BD35" s="12"/>
      <c r="BE35" s="12"/>
      <c r="BF35" s="12"/>
      <c r="BG35" s="12"/>
      <c r="BH35" s="12"/>
      <c r="BI35" s="12"/>
      <c r="BJ35" s="12"/>
      <c r="BK35" s="12"/>
      <c r="BL35" s="12"/>
      <c r="BM35" s="12"/>
      <c r="BN35" s="12"/>
      <c r="BO35" s="12"/>
      <c r="BP35" s="12"/>
      <c r="BQ35" s="12"/>
      <c r="BR35" s="12"/>
      <c r="BS35" s="12"/>
      <c r="BT35" s="12"/>
      <c r="BU35" s="12"/>
      <c r="BV35" s="12"/>
    </row>
    <row r="36" spans="1:74" ht="18" customHeight="1" x14ac:dyDescent="0.4">
      <c r="B36" s="833" t="s">
        <v>45</v>
      </c>
      <c r="C36" s="1002" t="s">
        <v>44</v>
      </c>
      <c r="D36" s="892"/>
      <c r="E36" s="25" t="s">
        <v>117</v>
      </c>
      <c r="F36" s="1009"/>
      <c r="G36" s="24"/>
      <c r="H36" s="1009"/>
      <c r="I36" s="14">
        <v>3679.0633039689005</v>
      </c>
      <c r="J36" s="14">
        <v>3476.4113137838945</v>
      </c>
      <c r="K36" s="14">
        <v>3404.5459225499694</v>
      </c>
      <c r="L36" s="14">
        <v>3491.6833020231297</v>
      </c>
      <c r="M36" s="14">
        <v>3426.2037132172986</v>
      </c>
      <c r="N36" s="14">
        <v>3558.1613482022221</v>
      </c>
      <c r="O36" s="14">
        <v>3615.625763169603</v>
      </c>
      <c r="P36" s="14">
        <v>3785.3631682173327</v>
      </c>
      <c r="Q36" s="14">
        <v>3928.8582349452645</v>
      </c>
      <c r="R36" s="14">
        <v>4145.3391814564393</v>
      </c>
      <c r="S36" s="14">
        <v>4176.3190920584075</v>
      </c>
      <c r="T36" s="14">
        <v>4074.2176968458066</v>
      </c>
      <c r="U36" s="14">
        <v>4149.3939155300068</v>
      </c>
      <c r="V36" s="14">
        <v>4123.6704535060735</v>
      </c>
      <c r="W36" s="14">
        <v>4247.7613359204488</v>
      </c>
      <c r="X36" s="691">
        <v>4107.4866563888572</v>
      </c>
      <c r="Y36" s="14">
        <v>4665.6243128277019</v>
      </c>
      <c r="Z36" s="14">
        <v>4972.9360975745585</v>
      </c>
      <c r="AA36" s="14">
        <v>5354.6362340230389</v>
      </c>
      <c r="AB36" s="14">
        <v>5048.9407687876519</v>
      </c>
      <c r="AC36" s="14">
        <v>4952.1890340898362</v>
      </c>
      <c r="AD36" s="14">
        <v>4739.063839287569</v>
      </c>
      <c r="AE36" s="14">
        <v>4733.2420141737985</v>
      </c>
      <c r="AF36" s="14">
        <v>4736.6977125293706</v>
      </c>
      <c r="AG36" s="14">
        <v>4757.9444002491682</v>
      </c>
      <c r="AH36" s="14">
        <v>4828.1436479065469</v>
      </c>
      <c r="AI36" s="14">
        <v>4785.8299562500315</v>
      </c>
      <c r="AJ36" s="14">
        <v>4868.498739557006</v>
      </c>
      <c r="AK36" s="14">
        <v>4931.3533472269328</v>
      </c>
      <c r="AL36" s="14">
        <v>4790.7443884568402</v>
      </c>
      <c r="AM36" s="14">
        <v>4585.3105774217856</v>
      </c>
      <c r="AN36" s="14">
        <v>4724.1914040969996</v>
      </c>
      <c r="AO36" s="14">
        <v>4783.8602436113288</v>
      </c>
      <c r="AP36" s="14">
        <v>4650.2417142004797</v>
      </c>
      <c r="AQ36" s="14">
        <v>4782.0944845918812</v>
      </c>
      <c r="AR36" s="14">
        <v>4489.4149268075043</v>
      </c>
      <c r="AS36" s="12"/>
      <c r="AT36" s="12"/>
      <c r="AU36" s="12"/>
      <c r="AV36" s="12"/>
      <c r="AW36" s="689"/>
      <c r="AX36" s="12"/>
      <c r="AY36" s="12"/>
      <c r="AZ36" s="12"/>
      <c r="BA36" s="12"/>
      <c r="BB36" s="791"/>
      <c r="BC36" s="12"/>
      <c r="BD36" s="12"/>
      <c r="BE36" s="12"/>
      <c r="BF36" s="12"/>
      <c r="BG36" s="12"/>
      <c r="BH36" s="12"/>
      <c r="BI36" s="12"/>
      <c r="BJ36" s="12"/>
      <c r="BK36" s="12"/>
      <c r="BL36" s="12"/>
      <c r="BM36" s="12"/>
      <c r="BN36" s="12"/>
      <c r="BO36" s="12"/>
      <c r="BP36" s="12"/>
      <c r="BQ36" s="12"/>
      <c r="BR36" s="12"/>
      <c r="BS36" s="12"/>
      <c r="BT36" s="12"/>
      <c r="BU36" s="12"/>
      <c r="BV36" s="12"/>
    </row>
    <row r="37" spans="1:74" s="1080" customFormat="1" ht="16.2" customHeight="1" x14ac:dyDescent="0.4">
      <c r="A37" s="1078" t="s">
        <v>383</v>
      </c>
      <c r="B37" s="1078"/>
      <c r="C37" s="1079"/>
      <c r="D37" s="993"/>
      <c r="E37" s="95" t="s">
        <v>44</v>
      </c>
      <c r="F37" s="1010"/>
      <c r="G37" s="153"/>
      <c r="H37" s="1010"/>
      <c r="I37" s="95">
        <f>'Talnagögn | Numerical Data'!I36-'Talnagögn | Numerical Data'!I31-'Talnagögn | Numerical Data'!I28-'Talnagögn | Numerical Data'!I29-'Talnagögn | Numerical Data'!I33</f>
        <v>1081.6072131862525</v>
      </c>
      <c r="J37" s="95">
        <f>'Talnagögn | Numerical Data'!J36-'Talnagögn | Numerical Data'!J31-'Talnagögn | Numerical Data'!J28-'Talnagögn | Numerical Data'!J29-'Talnagögn | Numerical Data'!J33</f>
        <v>964.82562603849942</v>
      </c>
      <c r="K37" s="95">
        <f>'Talnagögn | Numerical Data'!K36-'Talnagögn | Numerical Data'!K31-'Talnagögn | Numerical Data'!K28-'Talnagögn | Numerical Data'!K29-'Talnagögn | Numerical Data'!K33</f>
        <v>1032.0985909312053</v>
      </c>
      <c r="L37" s="95">
        <f>'Talnagögn | Numerical Data'!L36-'Talnagögn | Numerical Data'!L31-'Talnagögn | Numerical Data'!L28-'Talnagögn | Numerical Data'!L29-'Talnagögn | Numerical Data'!L33</f>
        <v>1140.1708613625788</v>
      </c>
      <c r="M37" s="95">
        <f>'Talnagögn | Numerical Data'!M36-'Talnagögn | Numerical Data'!M31-'Talnagögn | Numerical Data'!M28-'Talnagögn | Numerical Data'!M29-'Talnagögn | Numerical Data'!M33</f>
        <v>1097.5460359544873</v>
      </c>
      <c r="N37" s="95">
        <f>'Talnagögn | Numerical Data'!N36-'Talnagögn | Numerical Data'!N31-'Talnagögn | Numerical Data'!N28-'Talnagögn | Numerical Data'!N29-'Talnagögn | Numerical Data'!N33</f>
        <v>1174.4934194169173</v>
      </c>
      <c r="O37" s="95">
        <f>'Talnagögn | Numerical Data'!O36-'Talnagögn | Numerical Data'!O31-'Talnagögn | Numerical Data'!O28-'Talnagögn | Numerical Data'!O29-'Talnagögn | Numerical Data'!O33</f>
        <v>1245.9307422803806</v>
      </c>
      <c r="P37" s="95">
        <f>'Talnagögn | Numerical Data'!P36-'Talnagögn | Numerical Data'!P31-'Talnagögn | Numerical Data'!P28-'Talnagögn | Numerical Data'!P29-'Talnagögn | Numerical Data'!P33</f>
        <v>1303.9932350903321</v>
      </c>
      <c r="Q37" s="95">
        <f>'Talnagögn | Numerical Data'!Q36-'Talnagögn | Numerical Data'!Q31-'Talnagögn | Numerical Data'!Q28-'Talnagögn | Numerical Data'!Q29-'Talnagögn | Numerical Data'!Q33</f>
        <v>1257.0240916017306</v>
      </c>
      <c r="R37" s="95">
        <f>'Talnagögn | Numerical Data'!R36-'Talnagögn | Numerical Data'!R31-'Talnagögn | Numerical Data'!R28-'Talnagögn | Numerical Data'!R29-'Talnagögn | Numerical Data'!R33</f>
        <v>1389.1862702759508</v>
      </c>
      <c r="S37" s="95">
        <f>'Talnagögn | Numerical Data'!S36-'Talnagögn | Numerical Data'!S31-'Talnagögn | Numerical Data'!S28-'Talnagögn | Numerical Data'!S29-'Talnagögn | Numerical Data'!S33</f>
        <v>1477.8355339966097</v>
      </c>
      <c r="T37" s="95">
        <f>'Talnagögn | Numerical Data'!T36-'Talnagögn | Numerical Data'!T31-'Talnagögn | Numerical Data'!T28-'Talnagögn | Numerical Data'!T29-'Talnagögn | Numerical Data'!T33</f>
        <v>1533.7346143213349</v>
      </c>
      <c r="U37" s="95">
        <f>'Talnagögn | Numerical Data'!U36-'Talnagögn | Numerical Data'!U31-'Talnagögn | Numerical Data'!U28-'Talnagögn | Numerical Data'!U29-'Talnagögn | Numerical Data'!U33</f>
        <v>1518.6372763681493</v>
      </c>
      <c r="V37" s="95">
        <f>'Talnagögn | Numerical Data'!V36-'Talnagögn | Numerical Data'!V31-'Talnagögn | Numerical Data'!V28-'Talnagögn | Numerical Data'!V29-'Talnagögn | Numerical Data'!V33</f>
        <v>1457.9092626493425</v>
      </c>
      <c r="W37" s="95">
        <f>'Talnagögn | Numerical Data'!W36-'Talnagögn | Numerical Data'!W31-'Talnagögn | Numerical Data'!W28-'Talnagögn | Numerical Data'!W29-'Talnagögn | Numerical Data'!W33</f>
        <v>1542.6747991434436</v>
      </c>
      <c r="X37" s="1074">
        <f>'Talnagögn | Numerical Data'!X36-'Talnagögn | Numerical Data'!X31-'Talnagögn | Numerical Data'!X28-'Talnagögn | Numerical Data'!X29-'Talnagögn | Numerical Data'!X33</f>
        <v>1461.149948683028</v>
      </c>
      <c r="Y37" s="95">
        <f>'Talnagögn | Numerical Data'!Y36-'Talnagögn | Numerical Data'!Y31-'Talnagögn | Numerical Data'!Y28-'Talnagögn | Numerical Data'!Y29-'Talnagögn | Numerical Data'!Y33</f>
        <v>1524.29572045851</v>
      </c>
      <c r="Z37" s="95">
        <f>'Talnagögn | Numerical Data'!Z36-'Talnagögn | Numerical Data'!Z31-'Talnagögn | Numerical Data'!Z28-'Talnagögn | Numerical Data'!Z29-'Talnagögn | Numerical Data'!Z33</f>
        <v>1568.2556683892062</v>
      </c>
      <c r="AA37" s="95">
        <f>'Talnagögn | Numerical Data'!AA36-'Talnagögn | Numerical Data'!AA31-'Talnagögn | Numerical Data'!AA28-'Talnagögn | Numerical Data'!AA29-'Talnagögn | Numerical Data'!AA33</f>
        <v>1483.2287818501034</v>
      </c>
      <c r="AB37" s="95">
        <f>'Talnagögn | Numerical Data'!AB36-'Talnagögn | Numerical Data'!AB31-'Talnagögn | Numerical Data'!AB28-'Talnagögn | Numerical Data'!AB29-'Talnagögn | Numerical Data'!AB33</f>
        <v>1297.0452254402517</v>
      </c>
      <c r="AC37" s="95">
        <f>'Talnagögn | Numerical Data'!AC36-'Talnagögn | Numerical Data'!AC31-'Talnagögn | Numerical Data'!AC28-'Talnagögn | Numerical Data'!AC29-'Talnagögn | Numerical Data'!AC33</f>
        <v>1297.4190606052152</v>
      </c>
      <c r="AD37" s="95">
        <f>'Talnagögn | Numerical Data'!AD36-'Talnagögn | Numerical Data'!AD31-'Talnagögn | Numerical Data'!AD28-'Talnagögn | Numerical Data'!AD29-'Talnagögn | Numerical Data'!AD33</f>
        <v>1285.4515086054512</v>
      </c>
      <c r="AE37" s="95">
        <f>'Talnagögn | Numerical Data'!AE36-'Talnagögn | Numerical Data'!AE31-'Talnagögn | Numerical Data'!AE28-'Talnagögn | Numerical Data'!AE29-'Talnagögn | Numerical Data'!AE33</f>
        <v>1248.8538464079024</v>
      </c>
      <c r="AF37" s="95">
        <f>'Talnagögn | Numerical Data'!AF36-'Talnagögn | Numerical Data'!AF31-'Talnagögn | Numerical Data'!AF28-'Talnagögn | Numerical Data'!AF29-'Talnagögn | Numerical Data'!AF33</f>
        <v>1258.3122131203804</v>
      </c>
      <c r="AG37" s="95">
        <f>'Talnagögn | Numerical Data'!AG36-'Talnagögn | Numerical Data'!AG31-'Talnagögn | Numerical Data'!AG28-'Talnagögn | Numerical Data'!AG29-'Talnagögn | Numerical Data'!AG33</f>
        <v>1234.0034597004537</v>
      </c>
      <c r="AH37" s="95">
        <f>'Talnagögn | Numerical Data'!AH36-'Talnagögn | Numerical Data'!AH31-'Talnagögn | Numerical Data'!AH28-'Talnagögn | Numerical Data'!AH29-'Talnagögn | Numerical Data'!AH33</f>
        <v>1251.7911001352691</v>
      </c>
      <c r="AI37" s="95">
        <f>'Talnagögn | Numerical Data'!AI36-'Talnagögn | Numerical Data'!AI31-'Talnagögn | Numerical Data'!AI28-'Talnagögn | Numerical Data'!AI29-'Talnagögn | Numerical Data'!AI33</f>
        <v>1276.6905379988723</v>
      </c>
      <c r="AJ37" s="95">
        <f>'Talnagögn | Numerical Data'!AJ36-'Talnagögn | Numerical Data'!AJ31-'Talnagögn | Numerical Data'!AJ28-'Talnagögn | Numerical Data'!AJ29-'Talnagögn | Numerical Data'!AJ33</f>
        <v>1261.7776649785706</v>
      </c>
      <c r="AK37" s="95">
        <f>'Talnagögn | Numerical Data'!AK36-'Talnagögn | Numerical Data'!AK31-'Talnagögn | Numerical Data'!AK28-'Talnagögn | Numerical Data'!AK29-'Talnagögn | Numerical Data'!AK33</f>
        <v>1306.822630485648</v>
      </c>
      <c r="AL37" s="95">
        <f>'Talnagögn | Numerical Data'!AL36-'Talnagögn | Numerical Data'!AL31-'Talnagögn | Numerical Data'!AL28-'Talnagögn | Numerical Data'!AL29-'Talnagögn | Numerical Data'!AL33</f>
        <v>1263.6100553336755</v>
      </c>
      <c r="AM37" s="95">
        <f>'Talnagögn | Numerical Data'!AM36-'Talnagögn | Numerical Data'!AM31-'Talnagögn | Numerical Data'!AM28-'Talnagögn | Numerical Data'!AM29-'Talnagögn | Numerical Data'!AM33</f>
        <v>1216.0763839863312</v>
      </c>
      <c r="AN37" s="95">
        <f>'Talnagögn | Numerical Data'!AN36-'Talnagögn | Numerical Data'!AN31-'Talnagögn | Numerical Data'!AN28-'Talnagögn | Numerical Data'!AN29-'Talnagögn | Numerical Data'!AN33</f>
        <v>1244.7793028407423</v>
      </c>
      <c r="AO37" s="95">
        <f>'Talnagögn | Numerical Data'!AO36-'Talnagögn | Numerical Data'!AO31-'Talnagögn | Numerical Data'!AO28-'Talnagögn | Numerical Data'!AO29-'Talnagögn | Numerical Data'!AO33</f>
        <v>1325.7987067705635</v>
      </c>
      <c r="AP37" s="95">
        <f>'Talnagögn | Numerical Data'!AP36-'Talnagögn | Numerical Data'!AP31-'Talnagögn | Numerical Data'!AP28-'Talnagögn | Numerical Data'!AP29-'Talnagögn | Numerical Data'!AP33</f>
        <v>1166.2329756333927</v>
      </c>
      <c r="AQ37" s="95">
        <f>'Talnagögn | Numerical Data'!AQ36-'Talnagögn | Numerical Data'!AQ31-'Talnagögn | Numerical Data'!AQ28-'Talnagögn | Numerical Data'!AQ29-'Talnagögn | Numerical Data'!AQ33</f>
        <v>1327.3981793336775</v>
      </c>
      <c r="AR37" s="95">
        <f>'Talnagögn | Numerical Data'!AR36-'Talnagögn | Numerical Data'!AR31-'Talnagögn | Numerical Data'!AR28-'Talnagögn | Numerical Data'!AR29-'Talnagögn | Numerical Data'!AR33</f>
        <v>1131.4269207556169</v>
      </c>
      <c r="AS37" s="170"/>
      <c r="AT37" s="170"/>
      <c r="AU37" s="170"/>
      <c r="AV37" s="170"/>
      <c r="AW37" s="994"/>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row>
    <row r="38" spans="1:74" s="1073" customFormat="1" x14ac:dyDescent="0.4">
      <c r="A38" s="1068"/>
      <c r="B38" s="1077"/>
      <c r="C38" s="867" t="s">
        <v>44</v>
      </c>
      <c r="D38" s="891"/>
      <c r="E38" s="355" t="str">
        <f>$E$14</f>
        <v>Losunarspá: Sviðsmynd byggð á aðgerðum stjórnvalda</v>
      </c>
      <c r="F38" s="94"/>
      <c r="G38" s="619" t="str">
        <f>$G$14</f>
        <v>Emission Projections: Government Policy-Based Scenario</v>
      </c>
      <c r="H38" s="94"/>
      <c r="I38" s="15"/>
      <c r="J38" s="15"/>
      <c r="K38" s="15"/>
      <c r="L38" s="15"/>
      <c r="M38" s="15"/>
      <c r="N38" s="15"/>
      <c r="O38" s="15"/>
      <c r="P38" s="15"/>
      <c r="Q38" s="15"/>
      <c r="R38" s="15"/>
      <c r="S38" s="15"/>
      <c r="T38" s="15"/>
      <c r="U38" s="15"/>
      <c r="V38" s="15"/>
      <c r="W38" s="15"/>
      <c r="X38" s="690"/>
      <c r="Y38" s="15"/>
      <c r="Z38" s="15"/>
      <c r="AA38" s="15"/>
      <c r="AB38" s="15"/>
      <c r="AC38" s="15"/>
      <c r="AD38" s="15"/>
      <c r="AE38" s="15"/>
      <c r="AF38" s="15"/>
      <c r="AG38" s="15"/>
      <c r="AH38" s="15"/>
      <c r="AI38" s="15"/>
      <c r="AJ38" s="15"/>
      <c r="AK38" s="15"/>
      <c r="AL38" s="15"/>
      <c r="AM38" s="15"/>
      <c r="AN38" s="15"/>
      <c r="AO38" s="35"/>
      <c r="AP38" s="15"/>
      <c r="AQ38" s="15"/>
      <c r="AR38" s="35"/>
      <c r="AS38" s="35"/>
      <c r="AT38" s="35"/>
      <c r="AU38" s="35"/>
      <c r="AV38" s="35"/>
      <c r="AW38" s="82"/>
      <c r="AX38" s="35"/>
      <c r="AY38" s="35"/>
      <c r="AZ38" s="35"/>
      <c r="BA38" s="35"/>
      <c r="BB38" s="82"/>
      <c r="BC38" s="35"/>
      <c r="BD38" s="35"/>
      <c r="BE38" s="35"/>
      <c r="BF38" s="35"/>
      <c r="BG38" s="35"/>
      <c r="BH38" s="35"/>
      <c r="BI38" s="35"/>
      <c r="BJ38" s="35"/>
      <c r="BK38" s="35"/>
      <c r="BL38" s="35"/>
      <c r="BM38" s="35"/>
      <c r="BN38" s="35"/>
      <c r="BO38" s="35"/>
      <c r="BP38" s="35"/>
      <c r="BQ38" s="35"/>
      <c r="BR38" s="35"/>
      <c r="BS38" s="35"/>
      <c r="BT38" s="35"/>
      <c r="BU38" s="35"/>
      <c r="BV38" s="35"/>
    </row>
    <row r="39" spans="1:74" ht="18" customHeight="1" x14ac:dyDescent="0.4">
      <c r="B39" s="842" t="s">
        <v>46</v>
      </c>
      <c r="C39" s="866" t="str">
        <f t="shared" ref="C39:C47" si="3">B39&amp;" "&amp;D39</f>
        <v>1.A.4.c.iii Agriculture/Forestry/Fishing - Fishing kt CO2-eq WEM</v>
      </c>
      <c r="D39" s="891" t="s">
        <v>377</v>
      </c>
      <c r="E39" s="11" t="s">
        <v>5</v>
      </c>
      <c r="F39" s="64"/>
      <c r="G39" s="10" t="s">
        <v>118</v>
      </c>
      <c r="H39" s="64"/>
      <c r="I39" s="12"/>
      <c r="J39" s="12"/>
      <c r="K39" s="12"/>
      <c r="L39" s="12"/>
      <c r="M39" s="12"/>
      <c r="N39" s="12"/>
      <c r="O39" s="12"/>
      <c r="P39" s="12"/>
      <c r="Q39" s="12"/>
      <c r="R39" s="12"/>
      <c r="S39" s="12"/>
      <c r="T39" s="12"/>
      <c r="U39" s="12"/>
      <c r="V39" s="12"/>
      <c r="W39" s="12"/>
      <c r="X39" s="791"/>
      <c r="Y39" s="12"/>
      <c r="Z39" s="12"/>
      <c r="AA39" s="12"/>
      <c r="AB39" s="12"/>
      <c r="AC39" s="12"/>
      <c r="AD39" s="12"/>
      <c r="AE39" s="12"/>
      <c r="AF39" s="12"/>
      <c r="AG39" s="12"/>
      <c r="AH39" s="12"/>
      <c r="AI39" s="12"/>
      <c r="AJ39" s="12"/>
      <c r="AK39" s="12"/>
      <c r="AL39" s="12"/>
      <c r="AM39" s="12"/>
      <c r="AN39" s="12"/>
      <c r="AO39" s="12"/>
      <c r="AP39" s="161"/>
      <c r="AQ39" s="161"/>
      <c r="AR39" s="168">
        <f t="shared" ref="AR39:AR47" si="4">AR28</f>
        <v>482.07188977314064</v>
      </c>
      <c r="AS39" s="11">
        <v>473.86931408770465</v>
      </c>
      <c r="AT39" s="11">
        <v>467.20070580291656</v>
      </c>
      <c r="AU39" s="11">
        <v>467.02341537743479</v>
      </c>
      <c r="AV39" s="11">
        <v>462.57871330702324</v>
      </c>
      <c r="AW39" s="704">
        <v>456.4668591654148</v>
      </c>
      <c r="AX39" s="11">
        <v>450.04195860010151</v>
      </c>
      <c r="AY39" s="11">
        <v>445.1793264985896</v>
      </c>
      <c r="AZ39" s="11">
        <v>440.77740550576431</v>
      </c>
      <c r="BA39" s="11">
        <v>436.75852524633831</v>
      </c>
      <c r="BB39" s="704">
        <v>432.85529070911139</v>
      </c>
      <c r="BC39" s="11">
        <v>428.78787295729438</v>
      </c>
      <c r="BD39" s="11">
        <v>424.36043717317062</v>
      </c>
      <c r="BE39" s="11">
        <v>419.44248839254652</v>
      </c>
      <c r="BF39" s="11">
        <v>413.88800711766459</v>
      </c>
      <c r="BG39" s="11">
        <v>407.55722446584582</v>
      </c>
      <c r="BH39" s="11">
        <v>400.30107302193113</v>
      </c>
      <c r="BI39" s="11">
        <v>391.90209849476474</v>
      </c>
      <c r="BJ39" s="11">
        <v>382.14288167478105</v>
      </c>
      <c r="BK39" s="11">
        <v>370.77494193886446</v>
      </c>
      <c r="BL39" s="11">
        <v>357.54984237338471</v>
      </c>
      <c r="BM39" s="11">
        <v>342.23474115145405</v>
      </c>
      <c r="BN39" s="11">
        <v>324.7212507604001</v>
      </c>
      <c r="BO39" s="11">
        <v>304.82014698320813</v>
      </c>
      <c r="BP39" s="11">
        <v>282.67814418396694</v>
      </c>
      <c r="BQ39" s="11">
        <v>258.25342862871889</v>
      </c>
      <c r="BR39" s="11">
        <v>232.36694979853797</v>
      </c>
      <c r="BS39" s="11">
        <v>217.85517255941198</v>
      </c>
      <c r="BT39" s="11">
        <v>200.68033613184312</v>
      </c>
      <c r="BU39" s="11">
        <v>185.68910552441412</v>
      </c>
      <c r="BV39" s="11">
        <v>175.77592762189366</v>
      </c>
    </row>
    <row r="40" spans="1:74" ht="18" customHeight="1" x14ac:dyDescent="0.4">
      <c r="B40" s="842" t="s">
        <v>47</v>
      </c>
      <c r="C40" s="866" t="str">
        <f t="shared" si="3"/>
        <v>1.A.3.b Road transportationkt CO2-eq WEM</v>
      </c>
      <c r="D40" s="891" t="s">
        <v>377</v>
      </c>
      <c r="E40" s="11" t="s">
        <v>6</v>
      </c>
      <c r="F40" s="64"/>
      <c r="G40" s="10" t="s">
        <v>138</v>
      </c>
      <c r="H40" s="64"/>
      <c r="I40" s="12"/>
      <c r="J40" s="12"/>
      <c r="K40" s="12"/>
      <c r="L40" s="12"/>
      <c r="M40" s="12"/>
      <c r="N40" s="12"/>
      <c r="O40" s="12"/>
      <c r="P40" s="12"/>
      <c r="Q40" s="12"/>
      <c r="R40" s="12"/>
      <c r="S40" s="12"/>
      <c r="T40" s="12"/>
      <c r="U40" s="12"/>
      <c r="V40" s="12"/>
      <c r="W40" s="12"/>
      <c r="X40" s="791"/>
      <c r="Y40" s="12"/>
      <c r="Z40" s="12"/>
      <c r="AA40" s="12"/>
      <c r="AB40" s="12"/>
      <c r="AC40" s="12"/>
      <c r="AD40" s="12"/>
      <c r="AE40" s="12"/>
      <c r="AF40" s="12"/>
      <c r="AG40" s="12"/>
      <c r="AH40" s="12"/>
      <c r="AI40" s="12"/>
      <c r="AJ40" s="12"/>
      <c r="AK40" s="12"/>
      <c r="AL40" s="12"/>
      <c r="AM40" s="12"/>
      <c r="AN40" s="12"/>
      <c r="AO40" s="12"/>
      <c r="AP40" s="161"/>
      <c r="AQ40" s="161"/>
      <c r="AR40" s="168">
        <f t="shared" si="4"/>
        <v>917.25938476071508</v>
      </c>
      <c r="AS40" s="11">
        <v>894.16858535493168</v>
      </c>
      <c r="AT40" s="11">
        <v>870.22479903083979</v>
      </c>
      <c r="AU40" s="11">
        <v>845.91238091292894</v>
      </c>
      <c r="AV40" s="11">
        <v>817.6525413115495</v>
      </c>
      <c r="AW40" s="704">
        <v>786.22470235126434</v>
      </c>
      <c r="AX40" s="11">
        <v>757.39829911249035</v>
      </c>
      <c r="AY40" s="11">
        <v>725.32892966217446</v>
      </c>
      <c r="AZ40" s="11">
        <v>690.18087660199603</v>
      </c>
      <c r="BA40" s="11">
        <v>652.75395563730922</v>
      </c>
      <c r="BB40" s="704">
        <v>612.60303096660596</v>
      </c>
      <c r="BC40" s="11">
        <v>570.4163418619097</v>
      </c>
      <c r="BD40" s="11">
        <v>527.06377528525559</v>
      </c>
      <c r="BE40" s="11">
        <v>483.44336831068188</v>
      </c>
      <c r="BF40" s="11">
        <v>440.03318556197161</v>
      </c>
      <c r="BG40" s="11">
        <v>397.26191468225403</v>
      </c>
      <c r="BH40" s="11">
        <v>357.80086294977031</v>
      </c>
      <c r="BI40" s="11">
        <v>319.59252785708031</v>
      </c>
      <c r="BJ40" s="11">
        <v>282.81482924416576</v>
      </c>
      <c r="BK40" s="11">
        <v>247.93516723089152</v>
      </c>
      <c r="BL40" s="11">
        <v>218.07988990579847</v>
      </c>
      <c r="BM40" s="11">
        <v>189.97248428195772</v>
      </c>
      <c r="BN40" s="11">
        <v>163.48770402889318</v>
      </c>
      <c r="BO40" s="11">
        <v>138.58302115112616</v>
      </c>
      <c r="BP40" s="11">
        <v>115.35138850036425</v>
      </c>
      <c r="BQ40" s="11">
        <v>93.925949690402206</v>
      </c>
      <c r="BR40" s="11">
        <v>74.175334108306487</v>
      </c>
      <c r="BS40" s="11">
        <v>56.137514907950695</v>
      </c>
      <c r="BT40" s="11">
        <v>45.240065452722774</v>
      </c>
      <c r="BU40" s="11">
        <v>37.071678126572976</v>
      </c>
      <c r="BV40" s="11">
        <v>29.970905709588795</v>
      </c>
    </row>
    <row r="41" spans="1:74" ht="18" customHeight="1" x14ac:dyDescent="0.4">
      <c r="B41" s="842" t="s">
        <v>51</v>
      </c>
      <c r="C41" s="866" t="str">
        <f t="shared" si="3"/>
        <v>1.B.2.d Geothermal Energykt CO2-eq WEM</v>
      </c>
      <c r="D41" s="891" t="s">
        <v>377</v>
      </c>
      <c r="E41" s="11" t="s">
        <v>10</v>
      </c>
      <c r="F41" s="64"/>
      <c r="G41" s="10" t="s">
        <v>121</v>
      </c>
      <c r="H41" s="64"/>
      <c r="I41" s="12"/>
      <c r="J41" s="12"/>
      <c r="K41" s="12"/>
      <c r="L41" s="12"/>
      <c r="M41" s="12"/>
      <c r="N41" s="12"/>
      <c r="O41" s="12"/>
      <c r="P41" s="12"/>
      <c r="Q41" s="12"/>
      <c r="R41" s="12"/>
      <c r="S41" s="12"/>
      <c r="T41" s="12"/>
      <c r="U41" s="12"/>
      <c r="V41" s="12"/>
      <c r="W41" s="12"/>
      <c r="X41" s="791"/>
      <c r="Y41" s="12"/>
      <c r="Z41" s="12"/>
      <c r="AA41" s="12"/>
      <c r="AB41" s="12"/>
      <c r="AC41" s="12"/>
      <c r="AD41" s="12"/>
      <c r="AE41" s="12"/>
      <c r="AF41" s="12"/>
      <c r="AG41" s="12"/>
      <c r="AH41" s="12"/>
      <c r="AI41" s="12"/>
      <c r="AJ41" s="12"/>
      <c r="AK41" s="12"/>
      <c r="AL41" s="12"/>
      <c r="AM41" s="12"/>
      <c r="AN41" s="12"/>
      <c r="AO41" s="12"/>
      <c r="AP41" s="161"/>
      <c r="AQ41" s="161"/>
      <c r="AR41" s="168">
        <f t="shared" si="4"/>
        <v>214.07609476451782</v>
      </c>
      <c r="AS41" s="11">
        <v>200.08931930544816</v>
      </c>
      <c r="AT41" s="11">
        <v>200.11599544820228</v>
      </c>
      <c r="AU41" s="11">
        <v>200.10978527269327</v>
      </c>
      <c r="AV41" s="11">
        <v>200.10503334211458</v>
      </c>
      <c r="AW41" s="704">
        <v>187.31167135433674</v>
      </c>
      <c r="AX41" s="11">
        <v>185.34216199016637</v>
      </c>
      <c r="AY41" s="11">
        <v>185.34168800695139</v>
      </c>
      <c r="AZ41" s="11">
        <v>185.34264000619092</v>
      </c>
      <c r="BA41" s="11">
        <v>185.34216333443621</v>
      </c>
      <c r="BB41" s="704">
        <v>185.34216378252611</v>
      </c>
      <c r="BC41" s="11">
        <v>185.34232237438439</v>
      </c>
      <c r="BD41" s="11">
        <v>185.34221649711557</v>
      </c>
      <c r="BE41" s="11">
        <v>185.34223421800871</v>
      </c>
      <c r="BF41" s="11">
        <v>185.34225769650291</v>
      </c>
      <c r="BG41" s="11">
        <v>185.34223613720908</v>
      </c>
      <c r="BH41" s="11">
        <v>185.3422426839069</v>
      </c>
      <c r="BI41" s="11">
        <v>185.34224550587297</v>
      </c>
      <c r="BJ41" s="11">
        <v>185.34224144232965</v>
      </c>
      <c r="BK41" s="11">
        <v>185.34224321070317</v>
      </c>
      <c r="BL41" s="11">
        <v>185.34224338630193</v>
      </c>
      <c r="BM41" s="11">
        <v>185.3422426797782</v>
      </c>
      <c r="BN41" s="11">
        <v>185.3422430922611</v>
      </c>
      <c r="BO41" s="11">
        <v>185.34224305278045</v>
      </c>
      <c r="BP41" s="11">
        <v>185.3422429416066</v>
      </c>
      <c r="BQ41" s="11">
        <v>185.34224302888268</v>
      </c>
      <c r="BR41" s="11">
        <v>185.34224300775654</v>
      </c>
      <c r="BS41" s="11">
        <v>185.34224299274857</v>
      </c>
      <c r="BT41" s="11">
        <v>185.34224300979596</v>
      </c>
      <c r="BU41" s="11">
        <v>185.34224300343371</v>
      </c>
      <c r="BV41" s="11">
        <v>185.34224300199278</v>
      </c>
    </row>
    <row r="42" spans="1:74" ht="18" customHeight="1" x14ac:dyDescent="0.4">
      <c r="B42" s="842" t="s">
        <v>54</v>
      </c>
      <c r="C42" s="866" t="str">
        <f t="shared" si="3"/>
        <v>2.C.3 Aluminium productionkt CO2-eq WEM</v>
      </c>
      <c r="D42" s="891" t="s">
        <v>377</v>
      </c>
      <c r="E42" s="11" t="s">
        <v>15</v>
      </c>
      <c r="F42" s="64"/>
      <c r="G42" s="10" t="s">
        <v>136</v>
      </c>
      <c r="H42" s="64"/>
      <c r="I42" s="12"/>
      <c r="J42" s="12"/>
      <c r="K42" s="12"/>
      <c r="L42" s="12"/>
      <c r="M42" s="12"/>
      <c r="N42" s="12"/>
      <c r="O42" s="12"/>
      <c r="P42" s="12"/>
      <c r="Q42" s="12"/>
      <c r="R42" s="12"/>
      <c r="S42" s="12"/>
      <c r="T42" s="12"/>
      <c r="U42" s="12"/>
      <c r="V42" s="12"/>
      <c r="W42" s="12"/>
      <c r="X42" s="791"/>
      <c r="Y42" s="12"/>
      <c r="Z42" s="12"/>
      <c r="AA42" s="12"/>
      <c r="AB42" s="12"/>
      <c r="AC42" s="12"/>
      <c r="AD42" s="12"/>
      <c r="AE42" s="12"/>
      <c r="AF42" s="12"/>
      <c r="AG42" s="12"/>
      <c r="AH42" s="12"/>
      <c r="AI42" s="12"/>
      <c r="AJ42" s="12"/>
      <c r="AK42" s="12"/>
      <c r="AL42" s="12"/>
      <c r="AM42" s="12"/>
      <c r="AN42" s="12"/>
      <c r="AO42" s="12"/>
      <c r="AP42" s="161"/>
      <c r="AQ42" s="161"/>
      <c r="AR42" s="168">
        <f t="shared" si="4"/>
        <v>1290.3163042728158</v>
      </c>
      <c r="AS42" s="11">
        <v>1246.820327272565</v>
      </c>
      <c r="AT42" s="11">
        <v>1412.5180788347268</v>
      </c>
      <c r="AU42" s="11">
        <v>1419.7273783627891</v>
      </c>
      <c r="AV42" s="11">
        <v>1418.760131343824</v>
      </c>
      <c r="AW42" s="704">
        <v>1419.1090267641018</v>
      </c>
      <c r="AX42" s="11">
        <v>1419.2819575376309</v>
      </c>
      <c r="AY42" s="11">
        <v>1420.3392623547343</v>
      </c>
      <c r="AZ42" s="11">
        <v>1419.6308529579089</v>
      </c>
      <c r="BA42" s="11">
        <v>1419.8053006680477</v>
      </c>
      <c r="BB42" s="704">
        <v>1419.8053006680477</v>
      </c>
      <c r="BC42" s="11">
        <v>1424.9507496488432</v>
      </c>
      <c r="BD42" s="11">
        <v>1424.0557570489998</v>
      </c>
      <c r="BE42" s="11">
        <v>1424.0557570489998</v>
      </c>
      <c r="BF42" s="11">
        <v>1424.0557570489998</v>
      </c>
      <c r="BG42" s="11">
        <v>1424.9507496488432</v>
      </c>
      <c r="BH42" s="11">
        <v>1424.0557570489998</v>
      </c>
      <c r="BI42" s="11">
        <v>1424.0557570489998</v>
      </c>
      <c r="BJ42" s="11">
        <v>1424.0557570489998</v>
      </c>
      <c r="BK42" s="11">
        <v>1424.9507496488432</v>
      </c>
      <c r="BL42" s="11">
        <v>1424.0557570489998</v>
      </c>
      <c r="BM42" s="11">
        <v>1424.0557570489998</v>
      </c>
      <c r="BN42" s="11">
        <v>1424.0557570489998</v>
      </c>
      <c r="BO42" s="11">
        <v>1424.9507496488432</v>
      </c>
      <c r="BP42" s="11">
        <v>1424.0557570489998</v>
      </c>
      <c r="BQ42" s="11">
        <v>1424.0557570489998</v>
      </c>
      <c r="BR42" s="11">
        <v>1424.0557570489998</v>
      </c>
      <c r="BS42" s="11">
        <v>1424.9507496488432</v>
      </c>
      <c r="BT42" s="11">
        <v>1424.0557570489998</v>
      </c>
      <c r="BU42" s="11">
        <v>1424.0557570489998</v>
      </c>
      <c r="BV42" s="11">
        <v>1424.0557570489998</v>
      </c>
    </row>
    <row r="43" spans="1:74" ht="18" customHeight="1" x14ac:dyDescent="0.4">
      <c r="B43" s="842" t="s">
        <v>192</v>
      </c>
      <c r="C43" s="866" t="str">
        <f t="shared" si="3"/>
        <v>2.C.2 Ferroalloys productionkt CO2-eq WEM</v>
      </c>
      <c r="D43" s="891" t="s">
        <v>377</v>
      </c>
      <c r="E43" s="11" t="s">
        <v>35</v>
      </c>
      <c r="F43" s="64" t="s">
        <v>44</v>
      </c>
      <c r="G43" s="10" t="s">
        <v>137</v>
      </c>
      <c r="H43" s="64" t="s">
        <v>44</v>
      </c>
      <c r="I43" s="12"/>
      <c r="J43" s="12"/>
      <c r="K43" s="12"/>
      <c r="L43" s="12"/>
      <c r="M43" s="12"/>
      <c r="N43" s="12"/>
      <c r="O43" s="12"/>
      <c r="P43" s="12"/>
      <c r="Q43" s="12"/>
      <c r="R43" s="12"/>
      <c r="S43" s="12"/>
      <c r="T43" s="12"/>
      <c r="U43" s="12"/>
      <c r="V43" s="12"/>
      <c r="W43" s="12"/>
      <c r="X43" s="791"/>
      <c r="Y43" s="12"/>
      <c r="Z43" s="12"/>
      <c r="AA43" s="12"/>
      <c r="AB43" s="12"/>
      <c r="AC43" s="12"/>
      <c r="AD43" s="12"/>
      <c r="AE43" s="12"/>
      <c r="AF43" s="12"/>
      <c r="AG43" s="12"/>
      <c r="AH43" s="12"/>
      <c r="AI43" s="12"/>
      <c r="AJ43" s="12"/>
      <c r="AK43" s="12"/>
      <c r="AL43" s="12"/>
      <c r="AM43" s="12"/>
      <c r="AN43" s="12"/>
      <c r="AO43" s="12"/>
      <c r="AP43" s="161"/>
      <c r="AQ43" s="161"/>
      <c r="AR43" s="168">
        <f t="shared" si="4"/>
        <v>384.34514535840748</v>
      </c>
      <c r="AS43" s="11">
        <v>391.52482780919246</v>
      </c>
      <c r="AT43" s="11">
        <v>498.96348623655501</v>
      </c>
      <c r="AU43" s="11">
        <v>502.28647226886665</v>
      </c>
      <c r="AV43" s="11">
        <v>502.28647226886665</v>
      </c>
      <c r="AW43" s="704">
        <v>502.28647226886665</v>
      </c>
      <c r="AX43" s="11">
        <v>502.28647226886665</v>
      </c>
      <c r="AY43" s="11">
        <v>502.28647226886665</v>
      </c>
      <c r="AZ43" s="11">
        <v>502.28647226886665</v>
      </c>
      <c r="BA43" s="11">
        <v>502.28647226886665</v>
      </c>
      <c r="BB43" s="704">
        <v>502.28647226886665</v>
      </c>
      <c r="BC43" s="11">
        <v>502.28647226886665</v>
      </c>
      <c r="BD43" s="11">
        <v>502.28647226886665</v>
      </c>
      <c r="BE43" s="11">
        <v>502.28647226886665</v>
      </c>
      <c r="BF43" s="11">
        <v>502.28647226886665</v>
      </c>
      <c r="BG43" s="11">
        <v>502.28647226886665</v>
      </c>
      <c r="BH43" s="11">
        <v>502.28647226886665</v>
      </c>
      <c r="BI43" s="11">
        <v>502.28647226886665</v>
      </c>
      <c r="BJ43" s="11">
        <v>502.28647226886665</v>
      </c>
      <c r="BK43" s="11">
        <v>502.28647226886665</v>
      </c>
      <c r="BL43" s="11">
        <v>502.28647226886665</v>
      </c>
      <c r="BM43" s="11">
        <v>502.28647226886665</v>
      </c>
      <c r="BN43" s="11">
        <v>502.28647226886665</v>
      </c>
      <c r="BO43" s="11">
        <v>502.28647226886665</v>
      </c>
      <c r="BP43" s="11">
        <v>502.28647226886665</v>
      </c>
      <c r="BQ43" s="11">
        <v>502.28647226886665</v>
      </c>
      <c r="BR43" s="11">
        <v>502.28647226886665</v>
      </c>
      <c r="BS43" s="11">
        <v>502.28647226886665</v>
      </c>
      <c r="BT43" s="11">
        <v>502.28647226886665</v>
      </c>
      <c r="BU43" s="11">
        <v>502.28647226886665</v>
      </c>
      <c r="BV43" s="11">
        <v>502.28647226886665</v>
      </c>
    </row>
    <row r="44" spans="1:74" ht="18" customHeight="1" x14ac:dyDescent="0.4">
      <c r="B44" s="842" t="s">
        <v>40</v>
      </c>
      <c r="C44" s="866" t="str">
        <f t="shared" si="3"/>
        <v>3. Agriculturekt CO2-eq WEM</v>
      </c>
      <c r="D44" s="891" t="s">
        <v>377</v>
      </c>
      <c r="E44" s="11" t="s">
        <v>2</v>
      </c>
      <c r="F44" s="64" t="s">
        <v>44</v>
      </c>
      <c r="G44" s="10" t="s">
        <v>111</v>
      </c>
      <c r="H44" s="64" t="s">
        <v>44</v>
      </c>
      <c r="I44" s="12"/>
      <c r="J44" s="12"/>
      <c r="K44" s="12"/>
      <c r="L44" s="12"/>
      <c r="M44" s="12"/>
      <c r="N44" s="12"/>
      <c r="O44" s="12"/>
      <c r="P44" s="12"/>
      <c r="Q44" s="12"/>
      <c r="R44" s="12"/>
      <c r="S44" s="12"/>
      <c r="T44" s="12"/>
      <c r="U44" s="12"/>
      <c r="V44" s="12"/>
      <c r="W44" s="12"/>
      <c r="X44" s="791"/>
      <c r="Y44" s="12"/>
      <c r="Z44" s="12"/>
      <c r="AA44" s="12"/>
      <c r="AB44" s="12"/>
      <c r="AC44" s="12"/>
      <c r="AD44" s="12"/>
      <c r="AE44" s="12"/>
      <c r="AF44" s="12"/>
      <c r="AG44" s="12"/>
      <c r="AH44" s="12"/>
      <c r="AI44" s="12"/>
      <c r="AJ44" s="12"/>
      <c r="AK44" s="12"/>
      <c r="AL44" s="12"/>
      <c r="AM44" s="12"/>
      <c r="AN44" s="12"/>
      <c r="AO44" s="12"/>
      <c r="AP44" s="161"/>
      <c r="AQ44" s="161"/>
      <c r="AR44" s="168">
        <f t="shared" si="4"/>
        <v>668.34042724521601</v>
      </c>
      <c r="AS44" s="11">
        <v>668.54619208554391</v>
      </c>
      <c r="AT44" s="11">
        <v>656.60904705946609</v>
      </c>
      <c r="AU44" s="11">
        <v>654.4797775470571</v>
      </c>
      <c r="AV44" s="11">
        <v>652.13871239495563</v>
      </c>
      <c r="AW44" s="704">
        <v>650.31376558660054</v>
      </c>
      <c r="AX44" s="11">
        <v>647.73784360894774</v>
      </c>
      <c r="AY44" s="11">
        <v>646.27685346823318</v>
      </c>
      <c r="AZ44" s="11">
        <v>644.11762677097295</v>
      </c>
      <c r="BA44" s="11">
        <v>642.14365199552128</v>
      </c>
      <c r="BB44" s="704">
        <v>639.5022120899896</v>
      </c>
      <c r="BC44" s="11">
        <v>636.83164857070074</v>
      </c>
      <c r="BD44" s="11">
        <v>634.43854896594473</v>
      </c>
      <c r="BE44" s="11">
        <v>631.91661035643847</v>
      </c>
      <c r="BF44" s="11">
        <v>629.54618905941356</v>
      </c>
      <c r="BG44" s="11">
        <v>627.72066486934909</v>
      </c>
      <c r="BH44" s="11">
        <v>625.60652900788568</v>
      </c>
      <c r="BI44" s="11">
        <v>623.23429645427916</v>
      </c>
      <c r="BJ44" s="11">
        <v>621.85847520718653</v>
      </c>
      <c r="BK44" s="11">
        <v>620.90416111902175</v>
      </c>
      <c r="BL44" s="11">
        <v>617.63373278586982</v>
      </c>
      <c r="BM44" s="11">
        <v>615.35622173838874</v>
      </c>
      <c r="BN44" s="11">
        <v>612.44123308516635</v>
      </c>
      <c r="BO44" s="11">
        <v>609.69795998429311</v>
      </c>
      <c r="BP44" s="11">
        <v>606.31781037972337</v>
      </c>
      <c r="BQ44" s="11">
        <v>602.92761187344752</v>
      </c>
      <c r="BR44" s="11">
        <v>599.7859546805546</v>
      </c>
      <c r="BS44" s="11">
        <v>596.52483307963314</v>
      </c>
      <c r="BT44" s="11">
        <v>593.39974597286641</v>
      </c>
      <c r="BU44" s="11">
        <v>590.76915468008087</v>
      </c>
      <c r="BV44" s="11">
        <v>587.87045907676656</v>
      </c>
    </row>
    <row r="45" spans="1:74" ht="18" customHeight="1" x14ac:dyDescent="0.4">
      <c r="B45" s="842" t="s">
        <v>42</v>
      </c>
      <c r="C45" s="866" t="str">
        <f t="shared" si="3"/>
        <v>5. Wastekt CO2-eq WEM</v>
      </c>
      <c r="D45" s="891" t="s">
        <v>377</v>
      </c>
      <c r="E45" s="11" t="s">
        <v>1</v>
      </c>
      <c r="F45" s="64"/>
      <c r="G45" s="10" t="s">
        <v>112</v>
      </c>
      <c r="H45" s="64"/>
      <c r="I45" s="12"/>
      <c r="J45" s="12"/>
      <c r="K45" s="12"/>
      <c r="L45" s="12"/>
      <c r="M45" s="12"/>
      <c r="N45" s="12"/>
      <c r="O45" s="12"/>
      <c r="P45" s="12"/>
      <c r="Q45" s="12"/>
      <c r="R45" s="12"/>
      <c r="S45" s="12"/>
      <c r="T45" s="12"/>
      <c r="U45" s="12"/>
      <c r="V45" s="12"/>
      <c r="W45" s="12"/>
      <c r="X45" s="791"/>
      <c r="Y45" s="12"/>
      <c r="Z45" s="12"/>
      <c r="AA45" s="12"/>
      <c r="AB45" s="12"/>
      <c r="AC45" s="12"/>
      <c r="AD45" s="12"/>
      <c r="AE45" s="12"/>
      <c r="AF45" s="12"/>
      <c r="AG45" s="12"/>
      <c r="AH45" s="12"/>
      <c r="AI45" s="12"/>
      <c r="AJ45" s="12"/>
      <c r="AK45" s="12"/>
      <c r="AL45" s="12"/>
      <c r="AM45" s="12"/>
      <c r="AN45" s="12"/>
      <c r="AO45" s="12"/>
      <c r="AP45" s="161"/>
      <c r="AQ45" s="161"/>
      <c r="AR45" s="168">
        <f t="shared" si="4"/>
        <v>222.59190359498734</v>
      </c>
      <c r="AS45" s="11">
        <v>208.15885027314599</v>
      </c>
      <c r="AT45" s="11">
        <v>196.36901008566119</v>
      </c>
      <c r="AU45" s="11">
        <v>185.59010978187698</v>
      </c>
      <c r="AV45" s="11">
        <v>171.08331787216105</v>
      </c>
      <c r="AW45" s="704">
        <v>158.78787478384629</v>
      </c>
      <c r="AX45" s="11">
        <v>148.29387899216445</v>
      </c>
      <c r="AY45" s="11">
        <v>141.52595425683512</v>
      </c>
      <c r="AZ45" s="11">
        <v>140.29165420798648</v>
      </c>
      <c r="BA45" s="11">
        <v>132.79800042393882</v>
      </c>
      <c r="BB45" s="704">
        <v>126.40196847157881</v>
      </c>
      <c r="BC45" s="11">
        <v>120.94766925334844</v>
      </c>
      <c r="BD45" s="11">
        <v>116.41662117498754</v>
      </c>
      <c r="BE45" s="11">
        <v>112.7028484690579</v>
      </c>
      <c r="BF45" s="11">
        <v>108.27903373285127</v>
      </c>
      <c r="BG45" s="11">
        <v>104.18251000925142</v>
      </c>
      <c r="BH45" s="11">
        <v>100.53628682121756</v>
      </c>
      <c r="BI45" s="11">
        <v>97.289834457392374</v>
      </c>
      <c r="BJ45" s="11">
        <v>94.389988116587233</v>
      </c>
      <c r="BK45" s="11">
        <v>91.79643632540845</v>
      </c>
      <c r="BL45" s="11">
        <v>89.471655125469539</v>
      </c>
      <c r="BM45" s="11">
        <v>87.386208255484007</v>
      </c>
      <c r="BN45" s="11">
        <v>85.511703398780526</v>
      </c>
      <c r="BO45" s="11">
        <v>83.811627445305078</v>
      </c>
      <c r="BP45" s="11">
        <v>82.281994913184576</v>
      </c>
      <c r="BQ45" s="11">
        <v>80.903256811301574</v>
      </c>
      <c r="BR45" s="11">
        <v>79.65613033947119</v>
      </c>
      <c r="BS45" s="11">
        <v>78.528983113746079</v>
      </c>
      <c r="BT45" s="11">
        <v>77.513106300715606</v>
      </c>
      <c r="BU45" s="11">
        <v>76.598637604822585</v>
      </c>
      <c r="BV45" s="11">
        <v>75.768407824053725</v>
      </c>
    </row>
    <row r="46" spans="1:74" ht="18" customHeight="1" x14ac:dyDescent="0.4">
      <c r="B46" s="833" t="s">
        <v>86</v>
      </c>
      <c r="C46" s="866" t="str">
        <f t="shared" si="3"/>
        <v>National Total, without LULUCF OTHER kt CO2-eq WEM</v>
      </c>
      <c r="D46" s="891" t="s">
        <v>377</v>
      </c>
      <c r="E46" s="22" t="s">
        <v>23</v>
      </c>
      <c r="F46" s="1008"/>
      <c r="G46" s="10" t="s">
        <v>164</v>
      </c>
      <c r="H46" s="1008"/>
      <c r="I46" s="12"/>
      <c r="J46" s="12"/>
      <c r="K46" s="12"/>
      <c r="L46" s="12"/>
      <c r="M46" s="12"/>
      <c r="N46" s="12"/>
      <c r="O46" s="12"/>
      <c r="P46" s="12"/>
      <c r="Q46" s="12"/>
      <c r="R46" s="12"/>
      <c r="S46" s="12"/>
      <c r="T46" s="12"/>
      <c r="U46" s="12"/>
      <c r="V46" s="12"/>
      <c r="W46" s="12"/>
      <c r="X46" s="791"/>
      <c r="Y46" s="12"/>
      <c r="Z46" s="12"/>
      <c r="AA46" s="12"/>
      <c r="AB46" s="12"/>
      <c r="AC46" s="12"/>
      <c r="AD46" s="12"/>
      <c r="AE46" s="12"/>
      <c r="AF46" s="12"/>
      <c r="AG46" s="12"/>
      <c r="AH46" s="12"/>
      <c r="AI46" s="12"/>
      <c r="AJ46" s="12"/>
      <c r="AK46" s="12"/>
      <c r="AL46" s="12"/>
      <c r="AM46" s="12"/>
      <c r="AN46" s="12"/>
      <c r="AO46" s="12"/>
      <c r="AP46" s="161"/>
      <c r="AQ46" s="161"/>
      <c r="AR46" s="168">
        <f t="shared" si="4"/>
        <v>310.41377703770377</v>
      </c>
      <c r="AS46" s="23">
        <f t="shared" ref="AS46:BV46" si="5">AS$47-SUM(AS39:AS45)</f>
        <v>286.77887152979611</v>
      </c>
      <c r="AT46" s="23">
        <f t="shared" si="5"/>
        <v>297.41142023957855</v>
      </c>
      <c r="AU46" s="23">
        <f t="shared" si="5"/>
        <v>253.36452219452167</v>
      </c>
      <c r="AV46" s="23">
        <f t="shared" si="5"/>
        <v>233.87312898973869</v>
      </c>
      <c r="AW46" s="703">
        <f t="shared" si="5"/>
        <v>234.26107749859875</v>
      </c>
      <c r="AX46" s="23">
        <f t="shared" si="5"/>
        <v>212.24841501178162</v>
      </c>
      <c r="AY46" s="23">
        <f t="shared" si="5"/>
        <v>207.27281847316772</v>
      </c>
      <c r="AZ46" s="23">
        <f t="shared" si="5"/>
        <v>212.44721606184476</v>
      </c>
      <c r="BA46" s="23">
        <f t="shared" si="5"/>
        <v>200.44001337574809</v>
      </c>
      <c r="BB46" s="703">
        <f t="shared" si="5"/>
        <v>185.99379295337712</v>
      </c>
      <c r="BC46" s="23">
        <f t="shared" si="5"/>
        <v>184.229381682233</v>
      </c>
      <c r="BD46" s="23">
        <f t="shared" si="5"/>
        <v>181.47459644978062</v>
      </c>
      <c r="BE46" s="23">
        <f t="shared" si="5"/>
        <v>178.31695826063878</v>
      </c>
      <c r="BF46" s="23">
        <f t="shared" si="5"/>
        <v>175.04011624414306</v>
      </c>
      <c r="BG46" s="23">
        <f t="shared" si="5"/>
        <v>169.67017565913602</v>
      </c>
      <c r="BH46" s="23">
        <f t="shared" si="5"/>
        <v>165.49790730364657</v>
      </c>
      <c r="BI46" s="23">
        <f t="shared" si="5"/>
        <v>160.72781357647364</v>
      </c>
      <c r="BJ46" s="23">
        <f t="shared" si="5"/>
        <v>155.77046827901859</v>
      </c>
      <c r="BK46" s="23">
        <f t="shared" si="5"/>
        <v>150.63068486568955</v>
      </c>
      <c r="BL46" s="23">
        <f t="shared" si="5"/>
        <v>144.97638127088248</v>
      </c>
      <c r="BM46" s="23">
        <f t="shared" si="5"/>
        <v>139.45872244922248</v>
      </c>
      <c r="BN46" s="23">
        <f t="shared" si="5"/>
        <v>133.83280053478757</v>
      </c>
      <c r="BO46" s="23">
        <f t="shared" si="5"/>
        <v>127.46198766386806</v>
      </c>
      <c r="BP46" s="23">
        <f t="shared" si="5"/>
        <v>120.97993759285237</v>
      </c>
      <c r="BQ46" s="23">
        <f t="shared" si="5"/>
        <v>114.06821212057002</v>
      </c>
      <c r="BR46" s="23">
        <f t="shared" si="5"/>
        <v>102.5552289184252</v>
      </c>
      <c r="BS46" s="23">
        <f t="shared" si="5"/>
        <v>96.471499413289166</v>
      </c>
      <c r="BT46" s="23">
        <f t="shared" si="5"/>
        <v>90.619498212149665</v>
      </c>
      <c r="BU46" s="23">
        <f t="shared" si="5"/>
        <v>85.085994734179621</v>
      </c>
      <c r="BV46" s="23">
        <f t="shared" si="5"/>
        <v>79.879228995660924</v>
      </c>
    </row>
    <row r="47" spans="1:74" ht="18" customHeight="1" x14ac:dyDescent="0.4">
      <c r="B47" s="833" t="s">
        <v>45</v>
      </c>
      <c r="C47" s="866" t="str">
        <f t="shared" si="3"/>
        <v>National Total, without LULUCFkt CO2-eq WEM</v>
      </c>
      <c r="D47" s="891" t="s">
        <v>377</v>
      </c>
      <c r="E47" s="25" t="s">
        <v>117</v>
      </c>
      <c r="F47" s="1009"/>
      <c r="G47" s="24"/>
      <c r="H47" s="1009"/>
      <c r="I47" s="12"/>
      <c r="J47" s="12"/>
      <c r="K47" s="12"/>
      <c r="L47" s="12"/>
      <c r="M47" s="12"/>
      <c r="N47" s="12"/>
      <c r="O47" s="12"/>
      <c r="P47" s="12"/>
      <c r="Q47" s="12"/>
      <c r="R47" s="12"/>
      <c r="S47" s="12"/>
      <c r="T47" s="12"/>
      <c r="U47" s="12"/>
      <c r="V47" s="12"/>
      <c r="W47" s="12"/>
      <c r="X47" s="791"/>
      <c r="Y47" s="12"/>
      <c r="Z47" s="12"/>
      <c r="AA47" s="12"/>
      <c r="AB47" s="12"/>
      <c r="AC47" s="12"/>
      <c r="AD47" s="12"/>
      <c r="AE47" s="12"/>
      <c r="AF47" s="12"/>
      <c r="AG47" s="12"/>
      <c r="AH47" s="12"/>
      <c r="AI47" s="12"/>
      <c r="AJ47" s="12"/>
      <c r="AK47" s="12"/>
      <c r="AL47" s="12"/>
      <c r="AM47" s="12"/>
      <c r="AN47" s="12"/>
      <c r="AO47" s="12"/>
      <c r="AP47" s="161"/>
      <c r="AQ47" s="161"/>
      <c r="AR47" s="168">
        <f t="shared" si="4"/>
        <v>4489.4149268075043</v>
      </c>
      <c r="AS47" s="14">
        <v>4369.956287718328</v>
      </c>
      <c r="AT47" s="14">
        <v>4599.4125427379458</v>
      </c>
      <c r="AU47" s="14">
        <v>4528.4938417181684</v>
      </c>
      <c r="AV47" s="14">
        <v>4458.4780508302329</v>
      </c>
      <c r="AW47" s="691">
        <v>4394.7614497730301</v>
      </c>
      <c r="AX47" s="14">
        <v>4322.6309871221492</v>
      </c>
      <c r="AY47" s="14">
        <v>4273.5513049895526</v>
      </c>
      <c r="AZ47" s="14">
        <v>4235.0747443815308</v>
      </c>
      <c r="BA47" s="14">
        <v>4172.3280829502064</v>
      </c>
      <c r="BB47" s="691">
        <v>4104.7902319101031</v>
      </c>
      <c r="BC47" s="14">
        <v>4053.7924586175809</v>
      </c>
      <c r="BD47" s="14">
        <v>3995.4384248641209</v>
      </c>
      <c r="BE47" s="14">
        <v>3937.5067373252382</v>
      </c>
      <c r="BF47" s="14">
        <v>3878.4710187304131</v>
      </c>
      <c r="BG47" s="14">
        <v>3818.9719477407552</v>
      </c>
      <c r="BH47" s="14">
        <v>3761.4271311062244</v>
      </c>
      <c r="BI47" s="14">
        <v>3704.431045663729</v>
      </c>
      <c r="BJ47" s="14">
        <v>3648.6611132819348</v>
      </c>
      <c r="BK47" s="14">
        <v>3594.6208566082892</v>
      </c>
      <c r="BL47" s="14">
        <v>3539.3959741655735</v>
      </c>
      <c r="BM47" s="14">
        <v>3486.0928498741514</v>
      </c>
      <c r="BN47" s="14">
        <v>3431.6791642181547</v>
      </c>
      <c r="BO47" s="14">
        <v>3376.9542081982904</v>
      </c>
      <c r="BP47" s="14">
        <v>3319.2937478295644</v>
      </c>
      <c r="BQ47" s="14">
        <v>3261.7629314711889</v>
      </c>
      <c r="BR47" s="14">
        <v>3200.2240701709188</v>
      </c>
      <c r="BS47" s="14">
        <v>3158.0974679844894</v>
      </c>
      <c r="BT47" s="14">
        <v>3119.1372243979595</v>
      </c>
      <c r="BU47" s="14">
        <v>3086.8990429913706</v>
      </c>
      <c r="BV47" s="14">
        <v>3060.9494015478231</v>
      </c>
    </row>
    <row r="48" spans="1:74" s="1080" customFormat="1" ht="16.350000000000001" customHeight="1" x14ac:dyDescent="0.4">
      <c r="A48" s="1078" t="s">
        <v>383</v>
      </c>
      <c r="B48" s="1078"/>
      <c r="C48" s="1079"/>
      <c r="D48" s="893"/>
      <c r="E48" s="95" t="s">
        <v>44</v>
      </c>
      <c r="F48" s="1010"/>
      <c r="G48" s="153"/>
      <c r="H48" s="1010"/>
      <c r="X48" s="793"/>
      <c r="AP48" s="1080">
        <f>'Talnagögn | Numerical Data'!AP37</f>
        <v>1166.2329756333927</v>
      </c>
      <c r="AR48" s="1080">
        <f>'Talnagögn | Numerical Data'!AR37</f>
        <v>1131.4269207556169</v>
      </c>
      <c r="AS48" s="95">
        <f t="shared" ref="AS48:BV48" si="6">AS47-AS42-AS39-AS40-AS44</f>
        <v>1086.5518689175826</v>
      </c>
      <c r="AT48" s="95">
        <f t="shared" si="6"/>
        <v>1192.8599120099964</v>
      </c>
      <c r="AU48" s="95">
        <f t="shared" si="6"/>
        <v>1141.3508895179584</v>
      </c>
      <c r="AV48" s="95">
        <f t="shared" si="6"/>
        <v>1107.3479524728805</v>
      </c>
      <c r="AW48" s="159">
        <f t="shared" si="6"/>
        <v>1082.6470959056483</v>
      </c>
      <c r="AX48" s="95">
        <f t="shared" si="6"/>
        <v>1048.1709282629788</v>
      </c>
      <c r="AY48" s="95">
        <f t="shared" si="6"/>
        <v>1036.4269330058212</v>
      </c>
      <c r="AZ48" s="95">
        <f t="shared" si="6"/>
        <v>1040.3679825448883</v>
      </c>
      <c r="BA48" s="95">
        <f t="shared" si="6"/>
        <v>1020.8666494029902</v>
      </c>
      <c r="BB48" s="95">
        <f t="shared" si="6"/>
        <v>1000.0243974763484</v>
      </c>
      <c r="BC48" s="95">
        <f t="shared" si="6"/>
        <v>992.80584557883299</v>
      </c>
      <c r="BD48" s="95">
        <f t="shared" si="6"/>
        <v>985.51990639074972</v>
      </c>
      <c r="BE48" s="95">
        <f t="shared" si="6"/>
        <v>978.6485132165717</v>
      </c>
      <c r="BF48" s="95">
        <f t="shared" si="6"/>
        <v>970.9478799423639</v>
      </c>
      <c r="BG48" s="95">
        <f t="shared" si="6"/>
        <v>961.4813940744632</v>
      </c>
      <c r="BH48" s="95">
        <f t="shared" si="6"/>
        <v>953.66290907763755</v>
      </c>
      <c r="BI48" s="95">
        <f t="shared" si="6"/>
        <v>945.64636580860531</v>
      </c>
      <c r="BJ48" s="95">
        <f t="shared" si="6"/>
        <v>937.78917010680175</v>
      </c>
      <c r="BK48" s="95">
        <f t="shared" si="6"/>
        <v>930.05583667066833</v>
      </c>
      <c r="BL48" s="95">
        <f t="shared" si="6"/>
        <v>922.07675205152054</v>
      </c>
      <c r="BM48" s="95">
        <f t="shared" si="6"/>
        <v>914.47364565335079</v>
      </c>
      <c r="BN48" s="95">
        <f t="shared" si="6"/>
        <v>906.97321929469524</v>
      </c>
      <c r="BO48" s="95">
        <f t="shared" si="6"/>
        <v>898.90233043081992</v>
      </c>
      <c r="BP48" s="95">
        <f t="shared" si="6"/>
        <v>890.8906477165101</v>
      </c>
      <c r="BQ48" s="95">
        <f t="shared" si="6"/>
        <v>882.6001842296206</v>
      </c>
      <c r="BR48" s="95">
        <f t="shared" si="6"/>
        <v>869.84007453452</v>
      </c>
      <c r="BS48" s="95">
        <f t="shared" si="6"/>
        <v>862.62919778865046</v>
      </c>
      <c r="BT48" s="95">
        <f t="shared" si="6"/>
        <v>855.76131979152728</v>
      </c>
      <c r="BU48" s="95">
        <f t="shared" si="6"/>
        <v>849.31334761130279</v>
      </c>
      <c r="BV48" s="95">
        <f t="shared" si="6"/>
        <v>843.27635209057416</v>
      </c>
    </row>
    <row r="49" spans="1:74" s="68" customFormat="1" x14ac:dyDescent="0.4">
      <c r="A49" s="859"/>
      <c r="B49" s="1077"/>
      <c r="C49" s="867"/>
      <c r="D49" s="891"/>
      <c r="E49" s="17"/>
      <c r="F49" s="1006"/>
      <c r="G49" s="17"/>
      <c r="H49" s="1006"/>
      <c r="I49" s="17"/>
      <c r="J49" s="17"/>
      <c r="K49" s="17"/>
      <c r="L49" s="17"/>
      <c r="M49" s="17"/>
      <c r="N49" s="17"/>
      <c r="O49" s="17"/>
      <c r="P49" s="17"/>
      <c r="Q49" s="17"/>
      <c r="R49" s="17"/>
      <c r="S49" s="17"/>
      <c r="T49" s="17"/>
      <c r="U49" s="17"/>
      <c r="V49" s="17"/>
      <c r="W49" s="17"/>
      <c r="X49" s="1074"/>
      <c r="Y49" s="17"/>
      <c r="Z49" s="17"/>
      <c r="AA49" s="17"/>
      <c r="AB49" s="17"/>
      <c r="AC49" s="17"/>
      <c r="AD49" s="17"/>
      <c r="AE49" s="17"/>
      <c r="AF49" s="17"/>
      <c r="AG49" s="17"/>
      <c r="AH49" s="17"/>
      <c r="AI49" s="17"/>
      <c r="AJ49" s="17"/>
      <c r="AK49" s="17"/>
      <c r="AL49" s="17"/>
      <c r="AM49" s="17"/>
      <c r="AN49" s="17"/>
      <c r="AO49" s="17"/>
      <c r="AP49" s="17"/>
      <c r="AQ49" s="17"/>
      <c r="AR49" s="51"/>
      <c r="AS49" s="51"/>
      <c r="AT49" s="51"/>
      <c r="AU49" s="51"/>
      <c r="AV49" s="51"/>
      <c r="AW49" s="688"/>
      <c r="AX49" s="51"/>
      <c r="AY49" s="51"/>
      <c r="AZ49" s="51"/>
      <c r="BA49" s="51"/>
      <c r="BB49" s="790"/>
      <c r="BC49" s="51"/>
      <c r="BD49" s="51"/>
      <c r="BE49" s="51"/>
      <c r="BF49" s="51"/>
      <c r="BG49" s="51"/>
      <c r="BH49" s="51"/>
      <c r="BI49" s="51"/>
      <c r="BJ49" s="51"/>
      <c r="BK49" s="51"/>
      <c r="BL49" s="51"/>
      <c r="BM49" s="51"/>
      <c r="BN49" s="51"/>
      <c r="BO49" s="51"/>
      <c r="BP49" s="51"/>
      <c r="BQ49" s="51"/>
      <c r="BR49" s="51"/>
      <c r="BS49" s="51"/>
      <c r="BT49" s="51"/>
      <c r="BU49" s="51"/>
      <c r="BV49" s="51"/>
    </row>
    <row r="50" spans="1:74" s="1153" customFormat="1" ht="47.4" customHeight="1" x14ac:dyDescent="0.75">
      <c r="A50" s="1150"/>
      <c r="B50" s="834"/>
      <c r="C50" s="988"/>
      <c r="D50" s="1149"/>
      <c r="E50" s="1151" t="s">
        <v>442</v>
      </c>
      <c r="F50" s="1011"/>
      <c r="G50" s="149"/>
      <c r="H50" s="1011"/>
      <c r="I50" s="29"/>
      <c r="J50" s="1152"/>
      <c r="K50" s="1152"/>
      <c r="L50" s="1152"/>
      <c r="M50" s="1152"/>
      <c r="N50" s="1152"/>
      <c r="O50" s="1152"/>
      <c r="P50" s="1152"/>
      <c r="Q50" s="1152"/>
      <c r="R50" s="1152"/>
      <c r="S50" s="1152"/>
      <c r="T50" s="1152"/>
      <c r="U50" s="1152"/>
      <c r="V50" s="1152"/>
      <c r="W50" s="1152"/>
      <c r="X50" s="1291"/>
      <c r="Y50" s="1152"/>
      <c r="Z50" s="1152"/>
      <c r="AA50" s="1152"/>
      <c r="AB50" s="1152"/>
      <c r="AC50" s="1152"/>
      <c r="AD50" s="1152"/>
      <c r="AE50" s="1152"/>
      <c r="AF50" s="1152"/>
      <c r="AG50" s="1152"/>
      <c r="AH50" s="1152"/>
      <c r="AI50" s="1152"/>
      <c r="AJ50" s="1152"/>
      <c r="AK50" s="1152"/>
      <c r="AL50" s="1152"/>
      <c r="AM50" s="1152"/>
      <c r="AN50" s="1152"/>
      <c r="AO50" s="1152"/>
      <c r="AP50" s="1152"/>
      <c r="AQ50" s="1152"/>
      <c r="AW50" s="1154"/>
      <c r="BB50" s="1155"/>
    </row>
    <row r="51" spans="1:74" s="1283" customFormat="1" ht="48" customHeight="1" x14ac:dyDescent="0.4">
      <c r="A51" s="855"/>
      <c r="B51" s="838"/>
      <c r="C51" s="873"/>
      <c r="D51" s="1225"/>
      <c r="E51" s="1277"/>
      <c r="F51" s="1278"/>
      <c r="G51" s="1279"/>
      <c r="H51" s="1278"/>
      <c r="I51" s="1280"/>
      <c r="J51" s="1281"/>
      <c r="K51" s="1281"/>
      <c r="L51" s="1281"/>
      <c r="M51" s="1281"/>
      <c r="N51" s="1281"/>
      <c r="O51" s="1281"/>
      <c r="P51" s="1281"/>
      <c r="Q51" s="1281"/>
      <c r="R51" s="1281"/>
      <c r="S51" s="1281"/>
      <c r="T51" s="1281"/>
      <c r="U51" s="1281"/>
      <c r="V51" s="1281"/>
      <c r="W51" s="1281"/>
      <c r="X51" s="1282"/>
      <c r="Y51" s="1281"/>
      <c r="Z51" s="1281"/>
      <c r="AA51" s="1281"/>
      <c r="AB51" s="1281"/>
      <c r="AC51" s="1281"/>
      <c r="AD51" s="1281"/>
      <c r="AE51" s="1281"/>
      <c r="AF51" s="1281"/>
      <c r="AG51" s="1281"/>
      <c r="AH51" s="1281"/>
      <c r="AI51" s="1281"/>
      <c r="AJ51" s="1281"/>
      <c r="AK51" s="1281"/>
      <c r="AL51" s="1281"/>
      <c r="AM51" s="1281"/>
      <c r="AN51" s="1281"/>
      <c r="AO51" s="1281"/>
      <c r="AP51" s="1281"/>
      <c r="AQ51" s="1281"/>
      <c r="AR51" s="1281"/>
      <c r="AS51" s="1281"/>
      <c r="AT51" s="1281"/>
      <c r="AU51" s="1281"/>
      <c r="AV51" s="1281"/>
      <c r="AW51" s="1282"/>
      <c r="AX51" s="1281"/>
      <c r="AY51" s="1281"/>
      <c r="AZ51" s="1281"/>
      <c r="BA51" s="1281"/>
      <c r="BB51" s="1282"/>
      <c r="BC51" s="1281"/>
      <c r="BD51" s="1281"/>
      <c r="BE51" s="1281"/>
      <c r="BF51" s="1281"/>
      <c r="BG51" s="1281"/>
      <c r="BH51" s="1281"/>
      <c r="BI51" s="1281"/>
      <c r="BJ51" s="1281"/>
      <c r="BK51" s="1281"/>
      <c r="BL51" s="1281"/>
      <c r="BM51" s="1281"/>
      <c r="BN51" s="1281"/>
      <c r="BO51" s="1281"/>
      <c r="BP51" s="1281"/>
      <c r="BQ51" s="1281"/>
      <c r="BR51" s="1281"/>
      <c r="BS51" s="1281"/>
      <c r="BT51" s="1281"/>
      <c r="BU51" s="1281"/>
      <c r="BV51" s="1281"/>
    </row>
    <row r="52" spans="1:74" s="68" customFormat="1" x14ac:dyDescent="0.4">
      <c r="A52" s="859"/>
      <c r="B52" s="1077"/>
      <c r="C52" s="867"/>
      <c r="D52" s="891"/>
      <c r="E52" s="17"/>
      <c r="F52" s="1006"/>
      <c r="G52" s="17"/>
      <c r="H52" s="1006"/>
      <c r="I52" s="17"/>
      <c r="J52" s="17"/>
      <c r="K52" s="17"/>
      <c r="L52" s="17"/>
      <c r="M52" s="17"/>
      <c r="N52" s="17"/>
      <c r="O52" s="17"/>
      <c r="P52" s="17"/>
      <c r="Q52" s="17"/>
      <c r="R52" s="17"/>
      <c r="S52" s="17"/>
      <c r="T52" s="17"/>
      <c r="U52" s="17"/>
      <c r="V52" s="17"/>
      <c r="W52" s="17"/>
      <c r="X52" s="1074"/>
      <c r="Y52" s="17"/>
      <c r="Z52" s="17"/>
      <c r="AA52" s="17"/>
      <c r="AB52" s="17"/>
      <c r="AC52" s="17"/>
      <c r="AD52" s="17"/>
      <c r="AE52" s="17"/>
      <c r="AF52" s="17"/>
      <c r="AG52" s="17"/>
      <c r="AH52" s="17"/>
      <c r="AI52" s="17"/>
      <c r="AJ52" s="17"/>
      <c r="AK52" s="17"/>
      <c r="AL52" s="17"/>
      <c r="AM52" s="17"/>
      <c r="AN52" s="17"/>
      <c r="AO52" s="17"/>
      <c r="AP52" s="17"/>
      <c r="AQ52" s="17"/>
      <c r="AR52" s="51"/>
      <c r="AS52" s="51"/>
      <c r="AT52" s="51"/>
      <c r="AU52" s="51"/>
      <c r="AV52" s="51"/>
      <c r="AW52" s="688"/>
      <c r="AX52" s="51"/>
      <c r="AY52" s="51"/>
      <c r="AZ52" s="51"/>
      <c r="BA52" s="51"/>
      <c r="BB52" s="790"/>
      <c r="BC52" s="51"/>
      <c r="BD52" s="51"/>
      <c r="BE52" s="51"/>
      <c r="BF52" s="51"/>
      <c r="BG52" s="51"/>
      <c r="BH52" s="51"/>
      <c r="BI52" s="51"/>
      <c r="BJ52" s="51"/>
      <c r="BK52" s="51"/>
      <c r="BL52" s="51"/>
      <c r="BM52" s="51"/>
      <c r="BN52" s="51"/>
      <c r="BO52" s="51"/>
      <c r="BP52" s="51"/>
      <c r="BQ52" s="51"/>
      <c r="BR52" s="51"/>
      <c r="BS52" s="51"/>
      <c r="BT52" s="51"/>
      <c r="BU52" s="51"/>
      <c r="BV52" s="51"/>
    </row>
    <row r="53" spans="1:74" x14ac:dyDescent="0.4">
      <c r="B53" s="833"/>
      <c r="C53" s="867" t="s">
        <v>44</v>
      </c>
      <c r="D53" s="884"/>
      <c r="E53" s="30" t="str">
        <f>$E$5</f>
        <v>Söguleg losun</v>
      </c>
      <c r="F53" s="1012"/>
      <c r="G53" s="30" t="s">
        <v>330</v>
      </c>
      <c r="H53" s="1012"/>
      <c r="I53" s="4"/>
      <c r="J53" s="5" t="s">
        <v>44</v>
      </c>
      <c r="K53" s="6"/>
      <c r="L53" s="7"/>
      <c r="M53" s="8"/>
      <c r="N53" s="6"/>
      <c r="O53" s="6"/>
      <c r="P53" s="6"/>
      <c r="Q53" s="6"/>
      <c r="R53" s="6"/>
      <c r="S53" s="6"/>
      <c r="T53" s="6"/>
      <c r="U53" s="6"/>
      <c r="V53" s="6"/>
      <c r="W53" s="6"/>
      <c r="X53" s="1074"/>
      <c r="Y53" s="6"/>
      <c r="Z53" s="6"/>
      <c r="AA53" s="6"/>
      <c r="AB53" s="6"/>
      <c r="AC53" s="6"/>
      <c r="AD53" s="6"/>
      <c r="AE53" s="6"/>
      <c r="AF53" s="6"/>
      <c r="AG53" s="6"/>
      <c r="AH53" s="6"/>
      <c r="AI53" s="6"/>
      <c r="AJ53" s="6"/>
      <c r="AK53" s="6"/>
      <c r="AL53" s="6"/>
      <c r="AM53" s="6"/>
      <c r="AN53" s="6"/>
      <c r="AO53" s="6"/>
      <c r="AP53" s="6"/>
      <c r="AQ53" s="6"/>
      <c r="AR53" s="6"/>
      <c r="AS53" s="6"/>
      <c r="AT53" s="9"/>
      <c r="AU53" s="9"/>
      <c r="AV53" s="9"/>
      <c r="AW53" s="688"/>
      <c r="AX53" s="9"/>
      <c r="AY53" s="9"/>
      <c r="AZ53" s="9"/>
      <c r="BA53" s="9"/>
      <c r="BB53" s="790"/>
      <c r="BC53" s="9"/>
      <c r="BD53" s="9"/>
      <c r="BE53" s="9"/>
      <c r="BF53" s="9"/>
      <c r="BG53" s="9"/>
      <c r="BH53" s="9"/>
      <c r="BI53" s="9"/>
      <c r="BJ53" s="9"/>
      <c r="BK53" s="9"/>
      <c r="BL53" s="9"/>
      <c r="BM53" s="9"/>
      <c r="BN53" s="9"/>
      <c r="BO53" s="9"/>
      <c r="BP53" s="9"/>
      <c r="BQ53" s="9"/>
      <c r="BR53" s="9"/>
      <c r="BS53" s="9"/>
      <c r="BT53" s="9"/>
      <c r="BU53" s="9"/>
      <c r="BV53" s="9"/>
    </row>
    <row r="54" spans="1:74" s="68" customFormat="1" ht="18" customHeight="1" x14ac:dyDescent="0.4">
      <c r="A54" s="859"/>
      <c r="B54" s="842" t="s">
        <v>46</v>
      </c>
      <c r="C54" s="1082" t="s">
        <v>44</v>
      </c>
      <c r="D54" s="885" t="s">
        <v>44</v>
      </c>
      <c r="E54" s="11" t="s">
        <v>5</v>
      </c>
      <c r="F54" s="1013"/>
      <c r="G54" s="10" t="s">
        <v>118</v>
      </c>
      <c r="H54" s="1013"/>
      <c r="I54" s="11">
        <v>760.43743715697804</v>
      </c>
      <c r="J54" s="11">
        <v>738.54790545981575</v>
      </c>
      <c r="K54" s="11">
        <v>817.72261535831558</v>
      </c>
      <c r="L54" s="11">
        <v>875.35407857239727</v>
      </c>
      <c r="M54" s="11">
        <v>858.59988349043726</v>
      </c>
      <c r="N54" s="11">
        <v>921.58739468062106</v>
      </c>
      <c r="O54" s="11">
        <v>941.8355393211059</v>
      </c>
      <c r="P54" s="11">
        <v>928.43528249451151</v>
      </c>
      <c r="Q54" s="11">
        <v>913.7304185060168</v>
      </c>
      <c r="R54" s="11">
        <v>896.73666811718942</v>
      </c>
      <c r="S54" s="11">
        <v>891.62636675738338</v>
      </c>
      <c r="T54" s="11">
        <v>735.43512282644895</v>
      </c>
      <c r="U54" s="11">
        <v>833.44738299320807</v>
      </c>
      <c r="V54" s="11">
        <v>800.59763840041353</v>
      </c>
      <c r="W54" s="11">
        <v>822.10422373737845</v>
      </c>
      <c r="X54" s="704">
        <v>742.27579695757936</v>
      </c>
      <c r="Y54" s="11">
        <v>676.16624793131371</v>
      </c>
      <c r="Z54" s="11">
        <v>768.90031104164586</v>
      </c>
      <c r="AA54" s="11">
        <v>706.67813037021858</v>
      </c>
      <c r="AB54" s="11">
        <v>762.70393720745039</v>
      </c>
      <c r="AC54" s="11">
        <v>726.56824505484042</v>
      </c>
      <c r="AD54" s="11">
        <v>657.20260984912954</v>
      </c>
      <c r="AE54" s="11">
        <v>651.37378056662806</v>
      </c>
      <c r="AF54" s="11">
        <v>614.72353826059737</v>
      </c>
      <c r="AG54" s="11">
        <v>606.24731041801465</v>
      </c>
      <c r="AH54" s="11">
        <v>621.21740588116916</v>
      </c>
      <c r="AI54" s="11">
        <v>518.76690503112491</v>
      </c>
      <c r="AJ54" s="11">
        <v>530.38142924834813</v>
      </c>
      <c r="AK54" s="11">
        <v>546.90019133575004</v>
      </c>
      <c r="AL54" s="11">
        <v>518.36261174209733</v>
      </c>
      <c r="AM54" s="11">
        <v>509.49421478812258</v>
      </c>
      <c r="AN54" s="11">
        <v>569.42147138918847</v>
      </c>
      <c r="AO54" s="11">
        <v>480.50043943615663</v>
      </c>
      <c r="AP54" s="11">
        <v>485.3352147538011</v>
      </c>
      <c r="AQ54" s="11">
        <v>520.01881128620573</v>
      </c>
      <c r="AR54" s="11">
        <v>482.07188977314064</v>
      </c>
      <c r="AS54" s="12"/>
      <c r="AT54" s="12"/>
      <c r="AU54" s="12"/>
      <c r="AV54" s="12"/>
      <c r="AW54" s="689"/>
      <c r="AX54" s="12"/>
      <c r="AY54" s="12"/>
      <c r="AZ54" s="12"/>
      <c r="BA54" s="12"/>
      <c r="BB54" s="791"/>
      <c r="BC54" s="12"/>
      <c r="BD54" s="12"/>
      <c r="BE54" s="12"/>
      <c r="BF54" s="12"/>
      <c r="BG54" s="12"/>
      <c r="BH54" s="12"/>
      <c r="BI54" s="12"/>
      <c r="BJ54" s="12"/>
      <c r="BK54" s="12"/>
      <c r="BL54" s="12"/>
      <c r="BM54" s="12"/>
      <c r="BN54" s="12"/>
      <c r="BO54" s="12"/>
      <c r="BP54" s="12"/>
      <c r="BQ54" s="12"/>
      <c r="BR54" s="12"/>
      <c r="BS54" s="12"/>
      <c r="BT54" s="12"/>
      <c r="BU54" s="12"/>
      <c r="BV54" s="12"/>
    </row>
    <row r="55" spans="1:74" s="68" customFormat="1" ht="18" customHeight="1" x14ac:dyDescent="0.4">
      <c r="A55" s="859"/>
      <c r="B55" s="842" t="s">
        <v>47</v>
      </c>
      <c r="C55" s="1082" t="s">
        <v>44</v>
      </c>
      <c r="D55" s="885" t="s">
        <v>44</v>
      </c>
      <c r="E55" s="11" t="s">
        <v>6</v>
      </c>
      <c r="F55" s="1013"/>
      <c r="G55" s="10" t="s">
        <v>138</v>
      </c>
      <c r="H55" s="1013"/>
      <c r="I55" s="11">
        <v>531.22135287801859</v>
      </c>
      <c r="J55" s="11">
        <v>549.73922233056999</v>
      </c>
      <c r="K55" s="11">
        <v>564.10322606237207</v>
      </c>
      <c r="L55" s="11">
        <v>560.82125209413766</v>
      </c>
      <c r="M55" s="11">
        <v>568.71975437287563</v>
      </c>
      <c r="N55" s="11">
        <v>558.39928539026232</v>
      </c>
      <c r="O55" s="11">
        <v>538.90124821929692</v>
      </c>
      <c r="P55" s="11">
        <v>570.14166117824288</v>
      </c>
      <c r="Q55" s="11">
        <v>578.21954693434816</v>
      </c>
      <c r="R55" s="11">
        <v>603.81835985278224</v>
      </c>
      <c r="S55" s="11">
        <v>615.19124112849386</v>
      </c>
      <c r="T55" s="11">
        <v>621.43794664753909</v>
      </c>
      <c r="U55" s="11">
        <v>630.07589891197915</v>
      </c>
      <c r="V55" s="11">
        <v>708.59649022597102</v>
      </c>
      <c r="W55" s="11">
        <v>744.98998559072106</v>
      </c>
      <c r="X55" s="704">
        <v>772.96720116217978</v>
      </c>
      <c r="Y55" s="11">
        <v>882.31132379605481</v>
      </c>
      <c r="Z55" s="11">
        <v>913.83614619722141</v>
      </c>
      <c r="AA55" s="11">
        <v>860.22323028213884</v>
      </c>
      <c r="AB55" s="11">
        <v>861.21528928281407</v>
      </c>
      <c r="AC55" s="11">
        <v>813.89802161205967</v>
      </c>
      <c r="AD55" s="11">
        <v>795.69099258781853</v>
      </c>
      <c r="AE55" s="11">
        <v>790.44455922423981</v>
      </c>
      <c r="AF55" s="11">
        <v>805.1705823155595</v>
      </c>
      <c r="AG55" s="11">
        <v>804.98232350461672</v>
      </c>
      <c r="AH55" s="11">
        <v>828.27095982461969</v>
      </c>
      <c r="AI55" s="11">
        <v>904.74762539415917</v>
      </c>
      <c r="AJ55" s="11">
        <v>955.78975219982249</v>
      </c>
      <c r="AK55" s="11">
        <v>983.0091585136197</v>
      </c>
      <c r="AL55" s="11">
        <v>963.43113685715196</v>
      </c>
      <c r="AM55" s="11">
        <v>836.92654422903922</v>
      </c>
      <c r="AN55" s="11">
        <v>866.31820877820041</v>
      </c>
      <c r="AO55" s="11">
        <v>933.32556342634609</v>
      </c>
      <c r="AP55" s="11">
        <v>928.55777773719262</v>
      </c>
      <c r="AQ55" s="11">
        <v>905.50742448156166</v>
      </c>
      <c r="AR55" s="11">
        <v>917.25938476071508</v>
      </c>
      <c r="AS55" s="12"/>
      <c r="AT55" s="12"/>
      <c r="AU55" s="12"/>
      <c r="AV55" s="12"/>
      <c r="AW55" s="689"/>
      <c r="AX55" s="12"/>
      <c r="AY55" s="12"/>
      <c r="AZ55" s="12"/>
      <c r="BA55" s="12"/>
      <c r="BB55" s="791"/>
      <c r="BC55" s="12"/>
      <c r="BD55" s="12"/>
      <c r="BE55" s="12"/>
      <c r="BF55" s="12"/>
      <c r="BG55" s="12"/>
      <c r="BH55" s="12"/>
      <c r="BI55" s="12"/>
      <c r="BJ55" s="12"/>
      <c r="BK55" s="12"/>
      <c r="BL55" s="12"/>
      <c r="BM55" s="12"/>
      <c r="BN55" s="12"/>
      <c r="BO55" s="12"/>
      <c r="BP55" s="12"/>
      <c r="BQ55" s="12"/>
      <c r="BR55" s="12"/>
      <c r="BS55" s="12"/>
      <c r="BT55" s="12"/>
      <c r="BU55" s="12"/>
      <c r="BV55" s="12"/>
    </row>
    <row r="56" spans="1:74" s="68" customFormat="1" ht="18" customHeight="1" x14ac:dyDescent="0.4">
      <c r="A56" s="859"/>
      <c r="B56" s="842" t="s">
        <v>48</v>
      </c>
      <c r="C56" s="1082" t="s">
        <v>44</v>
      </c>
      <c r="D56" s="885" t="s">
        <v>44</v>
      </c>
      <c r="E56" s="11" t="s">
        <v>7</v>
      </c>
      <c r="F56" s="1013"/>
      <c r="G56" s="11" t="s">
        <v>156</v>
      </c>
      <c r="H56" s="1013"/>
      <c r="I56" s="11">
        <v>33.592689259466667</v>
      </c>
      <c r="J56" s="11">
        <v>32.201725389066667</v>
      </c>
      <c r="K56" s="11">
        <v>27.224410482266663</v>
      </c>
      <c r="L56" s="11">
        <v>26.429316349733334</v>
      </c>
      <c r="M56" s="11">
        <v>24.585201250133338</v>
      </c>
      <c r="N56" s="11">
        <v>30.243199507600004</v>
      </c>
      <c r="O56" s="11">
        <v>34.290320180666669</v>
      </c>
      <c r="P56" s="11">
        <v>32.124993649733341</v>
      </c>
      <c r="Q56" s="11">
        <v>33.773912666933334</v>
      </c>
      <c r="R56" s="11">
        <v>32.33894076213334</v>
      </c>
      <c r="S56" s="11">
        <v>28.45911297426667</v>
      </c>
      <c r="T56" s="11">
        <v>25.02166617</v>
      </c>
      <c r="U56" s="11">
        <v>21.891146296399995</v>
      </c>
      <c r="V56" s="11">
        <v>22.175639411333332</v>
      </c>
      <c r="W56" s="11">
        <v>23.50699608213333</v>
      </c>
      <c r="X56" s="704">
        <v>26.205441711733332</v>
      </c>
      <c r="Y56" s="11">
        <v>28.3528346704</v>
      </c>
      <c r="Z56" s="11">
        <v>22.219344058533331</v>
      </c>
      <c r="AA56" s="11">
        <v>26.434971138933332</v>
      </c>
      <c r="AB56" s="11">
        <v>21.952995185866662</v>
      </c>
      <c r="AC56" s="11">
        <v>21.298554827999997</v>
      </c>
      <c r="AD56" s="11">
        <v>20.433647872000002</v>
      </c>
      <c r="AE56" s="11">
        <v>21.0236773996</v>
      </c>
      <c r="AF56" s="11">
        <v>19.765428672133336</v>
      </c>
      <c r="AG56" s="11">
        <v>19.698405336533337</v>
      </c>
      <c r="AH56" s="11">
        <v>20.597434940666666</v>
      </c>
      <c r="AI56" s="11">
        <v>22.746395399866667</v>
      </c>
      <c r="AJ56" s="11">
        <v>23.133315475600003</v>
      </c>
      <c r="AK56" s="11">
        <v>24.770402378666667</v>
      </c>
      <c r="AL56" s="11">
        <v>27.967275005594509</v>
      </c>
      <c r="AM56" s="11">
        <v>13.2458178014416</v>
      </c>
      <c r="AN56" s="11">
        <v>20.8932966504</v>
      </c>
      <c r="AO56" s="11">
        <v>24.268683868533337</v>
      </c>
      <c r="AP56" s="11">
        <v>22.510975184533333</v>
      </c>
      <c r="AQ56" s="11">
        <v>20.498994139466671</v>
      </c>
      <c r="AR56" s="11">
        <v>19.219314461733333</v>
      </c>
      <c r="AS56" s="12"/>
      <c r="AT56" s="12"/>
      <c r="AU56" s="12"/>
      <c r="AV56" s="12"/>
      <c r="AW56" s="689"/>
      <c r="AX56" s="12"/>
      <c r="AY56" s="12"/>
      <c r="AZ56" s="12"/>
      <c r="BA56" s="12"/>
      <c r="BB56" s="791"/>
      <c r="BC56" s="12"/>
      <c r="BD56" s="12"/>
      <c r="BE56" s="12"/>
      <c r="BF56" s="12"/>
      <c r="BG56" s="12"/>
      <c r="BH56" s="12"/>
      <c r="BI56" s="12"/>
      <c r="BJ56" s="12"/>
      <c r="BK56" s="12"/>
      <c r="BL56" s="12"/>
      <c r="BM56" s="12"/>
      <c r="BN56" s="12"/>
      <c r="BO56" s="12"/>
      <c r="BP56" s="12"/>
      <c r="BQ56" s="12"/>
      <c r="BR56" s="12"/>
      <c r="BS56" s="12"/>
      <c r="BT56" s="12"/>
      <c r="BU56" s="12"/>
      <c r="BV56" s="12"/>
    </row>
    <row r="57" spans="1:74" s="68" customFormat="1" ht="18" customHeight="1" x14ac:dyDescent="0.4">
      <c r="A57" s="859"/>
      <c r="B57" s="842" t="s">
        <v>49</v>
      </c>
      <c r="C57" s="1082" t="s">
        <v>44</v>
      </c>
      <c r="D57" s="885" t="s">
        <v>44</v>
      </c>
      <c r="E57" s="11" t="s">
        <v>8</v>
      </c>
      <c r="F57" s="1013"/>
      <c r="G57" s="11" t="s">
        <v>157</v>
      </c>
      <c r="H57" s="1013"/>
      <c r="I57" s="11">
        <v>32.90600746666972</v>
      </c>
      <c r="J57" s="11">
        <v>23.118334138098895</v>
      </c>
      <c r="K57" s="11">
        <v>26.214323179199816</v>
      </c>
      <c r="L57" s="11">
        <v>32.019149494338876</v>
      </c>
      <c r="M57" s="11">
        <v>26.952358460372999</v>
      </c>
      <c r="N57" s="11">
        <v>37.524068872575825</v>
      </c>
      <c r="O57" s="11">
        <v>44.252911984973828</v>
      </c>
      <c r="P57" s="11">
        <v>26.941495555809812</v>
      </c>
      <c r="Q57" s="11">
        <v>20.668408117064299</v>
      </c>
      <c r="R57" s="11">
        <v>18.20758204949944</v>
      </c>
      <c r="S57" s="11">
        <v>12.662544690953844</v>
      </c>
      <c r="T57" s="11">
        <v>20.64303991064217</v>
      </c>
      <c r="U57" s="11">
        <v>18.67809749364854</v>
      </c>
      <c r="V57" s="11">
        <v>34.257314086427598</v>
      </c>
      <c r="W57" s="11">
        <v>48.756120365330574</v>
      </c>
      <c r="X57" s="704">
        <v>22.602848961105504</v>
      </c>
      <c r="Y57" s="11">
        <v>51.559117007313546</v>
      </c>
      <c r="Z57" s="11">
        <v>61.411857554830583</v>
      </c>
      <c r="AA57" s="11">
        <v>55.369715839883263</v>
      </c>
      <c r="AB57" s="11">
        <v>31.752075715851465</v>
      </c>
      <c r="AC57" s="11">
        <v>35.307139818880238</v>
      </c>
      <c r="AD57" s="11">
        <v>18.702742389807792</v>
      </c>
      <c r="AE57" s="11">
        <v>13.816453576776222</v>
      </c>
      <c r="AF57" s="11">
        <v>15.811424417433498</v>
      </c>
      <c r="AG57" s="11">
        <v>20.451208760690278</v>
      </c>
      <c r="AH57" s="11">
        <v>26.634994300275558</v>
      </c>
      <c r="AI57" s="11">
        <v>27.818002298841321</v>
      </c>
      <c r="AJ57" s="11">
        <v>31.64325842576952</v>
      </c>
      <c r="AK57" s="11">
        <v>43.469950045502642</v>
      </c>
      <c r="AL57" s="11">
        <v>53.20264126363837</v>
      </c>
      <c r="AM57" s="11">
        <v>25.153031456029371</v>
      </c>
      <c r="AN57" s="11">
        <v>17.531236914920605</v>
      </c>
      <c r="AO57" s="11">
        <v>24.542971240693355</v>
      </c>
      <c r="AP57" s="11">
        <v>16.847724414769708</v>
      </c>
      <c r="AQ57" s="11">
        <v>13.471108260378832</v>
      </c>
      <c r="AR57" s="11">
        <v>22.342012716758749</v>
      </c>
      <c r="AS57" s="12"/>
      <c r="AT57" s="12"/>
      <c r="AU57" s="12"/>
      <c r="AV57" s="12"/>
      <c r="AW57" s="689"/>
      <c r="AX57" s="12"/>
      <c r="AY57" s="12"/>
      <c r="AZ57" s="12"/>
      <c r="BA57" s="12"/>
      <c r="BB57" s="791"/>
      <c r="BC57" s="12"/>
      <c r="BD57" s="12"/>
      <c r="BE57" s="12"/>
      <c r="BF57" s="12"/>
      <c r="BG57" s="12"/>
      <c r="BH57" s="12"/>
      <c r="BI57" s="12"/>
      <c r="BJ57" s="12"/>
      <c r="BK57" s="12"/>
      <c r="BL57" s="12"/>
      <c r="BM57" s="12"/>
      <c r="BN57" s="12"/>
      <c r="BO57" s="12"/>
      <c r="BP57" s="12"/>
      <c r="BQ57" s="12"/>
      <c r="BR57" s="12"/>
      <c r="BS57" s="12"/>
      <c r="BT57" s="12"/>
      <c r="BU57" s="12"/>
      <c r="BV57" s="12"/>
    </row>
    <row r="58" spans="1:74" s="68" customFormat="1" ht="18" customHeight="1" x14ac:dyDescent="0.4">
      <c r="A58" s="859"/>
      <c r="B58" s="842" t="s">
        <v>81</v>
      </c>
      <c r="C58" s="1082" t="s">
        <v>44</v>
      </c>
      <c r="D58" s="885" t="s">
        <v>44</v>
      </c>
      <c r="E58" s="11" t="s">
        <v>9</v>
      </c>
      <c r="F58" s="1013"/>
      <c r="G58" s="11" t="s">
        <v>122</v>
      </c>
      <c r="H58" s="1013"/>
      <c r="I58" s="11">
        <f>SUM(I59:I61)</f>
        <v>132.69956180646039</v>
      </c>
      <c r="J58" s="11">
        <f t="shared" ref="J58:AP58" si="7">SUM(J59:J61)</f>
        <v>126.61678523119784</v>
      </c>
      <c r="K58" s="11">
        <f t="shared" si="7"/>
        <v>118.0009741831809</v>
      </c>
      <c r="L58" s="11">
        <f t="shared" si="7"/>
        <v>127.39940553726264</v>
      </c>
      <c r="M58" s="11">
        <f t="shared" si="7"/>
        <v>129.83810631241099</v>
      </c>
      <c r="N58" s="11">
        <f t="shared" si="7"/>
        <v>163.28813671537699</v>
      </c>
      <c r="O58" s="11">
        <f t="shared" si="7"/>
        <v>158.35483371464707</v>
      </c>
      <c r="P58" s="11">
        <f t="shared" si="7"/>
        <v>190.80562569111967</v>
      </c>
      <c r="Q58" s="11">
        <f t="shared" si="7"/>
        <v>192.96132537344991</v>
      </c>
      <c r="R58" s="11">
        <f t="shared" si="7"/>
        <v>211.50313771401193</v>
      </c>
      <c r="S58" s="11">
        <f t="shared" si="7"/>
        <v>216.21632875366106</v>
      </c>
      <c r="T58" s="11">
        <f t="shared" si="7"/>
        <v>211.51012539531604</v>
      </c>
      <c r="U58" s="11">
        <f t="shared" si="7"/>
        <v>198.07630808808767</v>
      </c>
      <c r="V58" s="11">
        <f t="shared" si="7"/>
        <v>181.57113148074811</v>
      </c>
      <c r="W58" s="11">
        <f t="shared" si="7"/>
        <v>217.89668386268423</v>
      </c>
      <c r="X58" s="704">
        <f t="shared" si="7"/>
        <v>236.89254361749525</v>
      </c>
      <c r="Y58" s="11">
        <f t="shared" si="7"/>
        <v>214.30164332811569</v>
      </c>
      <c r="Z58" s="11">
        <f t="shared" si="7"/>
        <v>215.8336624892838</v>
      </c>
      <c r="AA58" s="11">
        <f t="shared" si="7"/>
        <v>208.9615689366662</v>
      </c>
      <c r="AB58" s="11">
        <f t="shared" si="7"/>
        <v>145.57310735873384</v>
      </c>
      <c r="AC58" s="11">
        <f t="shared" si="7"/>
        <v>116.66251837871674</v>
      </c>
      <c r="AD58" s="11">
        <f t="shared" si="7"/>
        <v>106.724173287534</v>
      </c>
      <c r="AE58" s="11">
        <f t="shared" si="7"/>
        <v>102.82225724651583</v>
      </c>
      <c r="AF58" s="11">
        <f t="shared" si="7"/>
        <v>98.852644261966944</v>
      </c>
      <c r="AG58" s="11">
        <f t="shared" si="7"/>
        <v>117.37447230447314</v>
      </c>
      <c r="AH58" s="11">
        <f t="shared" si="7"/>
        <v>116.13287890779705</v>
      </c>
      <c r="AI58" s="11">
        <f t="shared" si="7"/>
        <v>134.94854641811295</v>
      </c>
      <c r="AJ58" s="11">
        <f t="shared" si="7"/>
        <v>138.05064207733511</v>
      </c>
      <c r="AK58" s="11">
        <f t="shared" si="7"/>
        <v>109.98053877254956</v>
      </c>
      <c r="AL58" s="11">
        <f t="shared" si="7"/>
        <v>86.903419069836744</v>
      </c>
      <c r="AM58" s="11">
        <f t="shared" si="7"/>
        <v>63.052941906921838</v>
      </c>
      <c r="AN58" s="11">
        <f t="shared" si="7"/>
        <v>60.294858741596478</v>
      </c>
      <c r="AO58" s="11">
        <f t="shared" si="7"/>
        <v>59.454653923532042</v>
      </c>
      <c r="AP58" s="11">
        <f t="shared" si="7"/>
        <v>74.887888616357046</v>
      </c>
      <c r="AQ58" s="11">
        <f t="shared" ref="AQ58:AR58" si="8">SUM(AQ59:AQ61)</f>
        <v>76.653020122222671</v>
      </c>
      <c r="AR58" s="11">
        <f t="shared" si="8"/>
        <v>77.003200912657135</v>
      </c>
      <c r="AS58" s="12"/>
      <c r="AT58" s="12"/>
      <c r="AU58" s="12"/>
      <c r="AV58" s="12"/>
      <c r="AW58" s="689"/>
      <c r="AX58" s="12"/>
      <c r="AY58" s="12"/>
      <c r="AZ58" s="12"/>
      <c r="BA58" s="12"/>
      <c r="BB58" s="791"/>
      <c r="BC58" s="12"/>
      <c r="BD58" s="12"/>
      <c r="BE58" s="12"/>
      <c r="BF58" s="12"/>
      <c r="BG58" s="12"/>
      <c r="BH58" s="12"/>
      <c r="BI58" s="12"/>
      <c r="BJ58" s="12"/>
      <c r="BK58" s="12"/>
      <c r="BL58" s="12"/>
      <c r="BM58" s="12"/>
      <c r="BN58" s="12"/>
      <c r="BO58" s="12"/>
      <c r="BP58" s="12"/>
      <c r="BQ58" s="12"/>
      <c r="BR58" s="12"/>
      <c r="BS58" s="12"/>
      <c r="BT58" s="12"/>
      <c r="BU58" s="12"/>
      <c r="BV58" s="12"/>
    </row>
    <row r="59" spans="1:74" s="85" customFormat="1" ht="18" customHeight="1" x14ac:dyDescent="0.4">
      <c r="A59" s="860"/>
      <c r="B59" s="1083" t="s">
        <v>50</v>
      </c>
      <c r="C59" s="1082" t="s">
        <v>44</v>
      </c>
      <c r="D59" s="863" t="s">
        <v>44</v>
      </c>
      <c r="E59" s="31" t="s">
        <v>102</v>
      </c>
      <c r="F59" s="1014"/>
      <c r="G59" s="31" t="s">
        <v>194</v>
      </c>
      <c r="H59" s="1014"/>
      <c r="I59" s="31">
        <v>75.173765941953732</v>
      </c>
      <c r="J59" s="31">
        <v>68.156955705313621</v>
      </c>
      <c r="K59" s="31">
        <v>67.818924324054024</v>
      </c>
      <c r="L59" s="31">
        <v>63.669465081290383</v>
      </c>
      <c r="M59" s="31">
        <v>65.020362212497204</v>
      </c>
      <c r="N59" s="31">
        <v>85.802902459029568</v>
      </c>
      <c r="O59" s="31">
        <v>79.224261924702134</v>
      </c>
      <c r="P59" s="31">
        <v>105.13659726474789</v>
      </c>
      <c r="Q59" s="31">
        <v>112.55213765648912</v>
      </c>
      <c r="R59" s="31">
        <v>121.44241156096055</v>
      </c>
      <c r="S59" s="31">
        <v>137.50143734529769</v>
      </c>
      <c r="T59" s="31">
        <v>134.21692864522498</v>
      </c>
      <c r="U59" s="31">
        <v>121.16718207008162</v>
      </c>
      <c r="V59" s="31">
        <v>117.39706530396745</v>
      </c>
      <c r="W59" s="31">
        <v>143.58773159372083</v>
      </c>
      <c r="X59" s="706">
        <v>153.66195047105322</v>
      </c>
      <c r="Y59" s="31">
        <v>155.71676978987949</v>
      </c>
      <c r="Z59" s="31">
        <v>150.48729802823601</v>
      </c>
      <c r="AA59" s="31">
        <v>151.44139150530151</v>
      </c>
      <c r="AB59" s="31">
        <v>81.766719310086543</v>
      </c>
      <c r="AC59" s="31">
        <v>58.959304380842894</v>
      </c>
      <c r="AD59" s="31">
        <v>43.464997929006685</v>
      </c>
      <c r="AE59" s="31">
        <v>38.477212532478283</v>
      </c>
      <c r="AF59" s="31">
        <v>42.40943083318642</v>
      </c>
      <c r="AG59" s="31">
        <v>50.853830199193865</v>
      </c>
      <c r="AH59" s="31">
        <v>49.023975685145288</v>
      </c>
      <c r="AI59" s="31">
        <v>76.032129289090122</v>
      </c>
      <c r="AJ59" s="31">
        <v>75.463809760384237</v>
      </c>
      <c r="AK59" s="31">
        <v>63.785758284543988</v>
      </c>
      <c r="AL59" s="31">
        <v>59.198538088775599</v>
      </c>
      <c r="AM59" s="31">
        <v>27.853814659242364</v>
      </c>
      <c r="AN59" s="31">
        <v>34.582046854338998</v>
      </c>
      <c r="AO59" s="31">
        <v>36.300129178331858</v>
      </c>
      <c r="AP59" s="31">
        <v>52.869222558500233</v>
      </c>
      <c r="AQ59" s="31">
        <v>53.865706068344494</v>
      </c>
      <c r="AR59" s="31">
        <v>54.166925310289855</v>
      </c>
      <c r="AS59" s="12"/>
      <c r="AT59" s="12"/>
      <c r="AU59" s="12"/>
      <c r="AV59" s="12"/>
      <c r="AW59" s="689"/>
      <c r="AX59" s="12"/>
      <c r="AY59" s="12"/>
      <c r="AZ59" s="12"/>
      <c r="BA59" s="12"/>
      <c r="BB59" s="791"/>
      <c r="BC59" s="12"/>
      <c r="BD59" s="12"/>
      <c r="BE59" s="12"/>
      <c r="BF59" s="12"/>
      <c r="BG59" s="12"/>
      <c r="BH59" s="12"/>
      <c r="BI59" s="12"/>
      <c r="BJ59" s="12"/>
      <c r="BK59" s="12"/>
      <c r="BL59" s="12"/>
      <c r="BM59" s="12"/>
      <c r="BN59" s="12"/>
      <c r="BO59" s="12"/>
      <c r="BP59" s="12"/>
      <c r="BQ59" s="12"/>
      <c r="BR59" s="12"/>
      <c r="BS59" s="12"/>
      <c r="BT59" s="12"/>
      <c r="BU59" s="12"/>
      <c r="BV59" s="12"/>
    </row>
    <row r="60" spans="1:74" s="85" customFormat="1" ht="18" customHeight="1" x14ac:dyDescent="0.4">
      <c r="A60" s="860"/>
      <c r="B60" s="1083" t="s">
        <v>75</v>
      </c>
      <c r="C60" s="1082" t="s">
        <v>44</v>
      </c>
      <c r="D60" s="863" t="s">
        <v>44</v>
      </c>
      <c r="E60" s="31" t="s">
        <v>103</v>
      </c>
      <c r="F60" s="1014"/>
      <c r="G60" s="31" t="s">
        <v>195</v>
      </c>
      <c r="H60" s="1014"/>
      <c r="I60" s="31">
        <v>55.056427664429812</v>
      </c>
      <c r="J60" s="31">
        <v>56.103653975720057</v>
      </c>
      <c r="K60" s="31">
        <v>47.986203473055014</v>
      </c>
      <c r="L60" s="31">
        <v>61.359201348323637</v>
      </c>
      <c r="M60" s="31">
        <v>62.40162390688949</v>
      </c>
      <c r="N60" s="31">
        <v>74.446652012625776</v>
      </c>
      <c r="O60" s="31">
        <v>76.183791971080694</v>
      </c>
      <c r="P60" s="31">
        <v>82.118381098955538</v>
      </c>
      <c r="Q60" s="31">
        <v>76.818425590580659</v>
      </c>
      <c r="R60" s="31">
        <v>86.12492474287653</v>
      </c>
      <c r="S60" s="31">
        <v>74.691383573873622</v>
      </c>
      <c r="T60" s="31">
        <v>73.357265308152932</v>
      </c>
      <c r="U60" s="31">
        <v>73.223180640923928</v>
      </c>
      <c r="V60" s="31">
        <v>60.733810345573978</v>
      </c>
      <c r="W60" s="31">
        <v>70.213208142790577</v>
      </c>
      <c r="X60" s="706">
        <v>78.747221294679207</v>
      </c>
      <c r="Y60" s="31">
        <v>54.583339856004564</v>
      </c>
      <c r="Z60" s="31">
        <v>60.916893193732243</v>
      </c>
      <c r="AA60" s="31">
        <v>50.927846446536435</v>
      </c>
      <c r="AB60" s="31">
        <v>57.673297629720217</v>
      </c>
      <c r="AC60" s="31">
        <v>51.534573846842271</v>
      </c>
      <c r="AD60" s="31">
        <v>51.359151097731356</v>
      </c>
      <c r="AE60" s="31">
        <v>62.100504459071395</v>
      </c>
      <c r="AF60" s="31">
        <v>54.286856518216197</v>
      </c>
      <c r="AG60" s="31">
        <v>63.864360145683186</v>
      </c>
      <c r="AH60" s="31">
        <v>64.411834195584191</v>
      </c>
      <c r="AI60" s="31">
        <v>56.293049928094973</v>
      </c>
      <c r="AJ60" s="31">
        <v>59.860556722324972</v>
      </c>
      <c r="AK60" s="31">
        <v>44.050258147638282</v>
      </c>
      <c r="AL60" s="31">
        <v>25.988802772860733</v>
      </c>
      <c r="AM60" s="31">
        <v>32.91334744479213</v>
      </c>
      <c r="AN60" s="31">
        <v>22.59934835452195</v>
      </c>
      <c r="AO60" s="31">
        <v>21.946797513646029</v>
      </c>
      <c r="AP60" s="31">
        <v>21.942146035012623</v>
      </c>
      <c r="AQ60" s="31">
        <v>21.771846603864322</v>
      </c>
      <c r="AR60" s="31">
        <v>22.787585908098663</v>
      </c>
      <c r="AS60" s="12"/>
      <c r="AT60" s="12"/>
      <c r="AU60" s="12"/>
      <c r="AV60" s="12"/>
      <c r="AW60" s="689"/>
      <c r="AX60" s="12"/>
      <c r="AY60" s="12"/>
      <c r="AZ60" s="12"/>
      <c r="BA60" s="12"/>
      <c r="BB60" s="791"/>
      <c r="BC60" s="12"/>
      <c r="BD60" s="12"/>
      <c r="BE60" s="12"/>
      <c r="BF60" s="12"/>
      <c r="BG60" s="12"/>
      <c r="BH60" s="12"/>
      <c r="BI60" s="12"/>
      <c r="BJ60" s="12"/>
      <c r="BK60" s="12"/>
      <c r="BL60" s="12"/>
      <c r="BM60" s="12"/>
      <c r="BN60" s="12"/>
      <c r="BO60" s="12"/>
      <c r="BP60" s="12"/>
      <c r="BQ60" s="12"/>
      <c r="BR60" s="12"/>
      <c r="BS60" s="12"/>
      <c r="BT60" s="12"/>
      <c r="BU60" s="12"/>
      <c r="BV60" s="12"/>
    </row>
    <row r="61" spans="1:74" s="85" customFormat="1" ht="18" customHeight="1" x14ac:dyDescent="0.4">
      <c r="A61" s="860"/>
      <c r="B61" s="1083" t="s">
        <v>74</v>
      </c>
      <c r="C61" s="1082" t="s">
        <v>44</v>
      </c>
      <c r="D61" s="863" t="s">
        <v>44</v>
      </c>
      <c r="E61" s="31" t="s">
        <v>104</v>
      </c>
      <c r="F61" s="1014"/>
      <c r="G61" s="31" t="s">
        <v>196</v>
      </c>
      <c r="H61" s="1014"/>
      <c r="I61" s="31">
        <v>2.4693682000768433</v>
      </c>
      <c r="J61" s="31">
        <v>2.3561755501641559</v>
      </c>
      <c r="K61" s="31">
        <v>2.1958463860718598</v>
      </c>
      <c r="L61" s="31">
        <v>2.370739107648614</v>
      </c>
      <c r="M61" s="31">
        <v>2.4161201930242919</v>
      </c>
      <c r="N61" s="31">
        <v>3.0385822437216325</v>
      </c>
      <c r="O61" s="31">
        <v>2.9467798188642442</v>
      </c>
      <c r="P61" s="31">
        <v>3.5506473274162493</v>
      </c>
      <c r="Q61" s="31">
        <v>3.5907621263801364</v>
      </c>
      <c r="R61" s="31">
        <v>3.9358014101748715</v>
      </c>
      <c r="S61" s="31">
        <v>4.0235078344897568</v>
      </c>
      <c r="T61" s="31">
        <v>3.9359314419381248</v>
      </c>
      <c r="U61" s="31">
        <v>3.685945377082132</v>
      </c>
      <c r="V61" s="31">
        <v>3.4402558312066791</v>
      </c>
      <c r="W61" s="31">
        <v>4.0957441261728418</v>
      </c>
      <c r="X61" s="706">
        <v>4.483371851762822</v>
      </c>
      <c r="Y61" s="31">
        <v>4.0015336822316279</v>
      </c>
      <c r="Z61" s="31">
        <v>4.4294712673155363</v>
      </c>
      <c r="AA61" s="31">
        <v>6.5923309848282692</v>
      </c>
      <c r="AB61" s="31">
        <v>6.1330904189270887</v>
      </c>
      <c r="AC61" s="31">
        <v>6.1686401510315658</v>
      </c>
      <c r="AD61" s="31">
        <v>11.900024260795965</v>
      </c>
      <c r="AE61" s="31">
        <v>2.2445402549661475</v>
      </c>
      <c r="AF61" s="31">
        <v>2.1563569105643312</v>
      </c>
      <c r="AG61" s="31">
        <v>2.656281959596086</v>
      </c>
      <c r="AH61" s="31">
        <v>2.6970690270675708</v>
      </c>
      <c r="AI61" s="31">
        <v>2.623367200927845</v>
      </c>
      <c r="AJ61" s="31">
        <v>2.7262755946259087</v>
      </c>
      <c r="AK61" s="31">
        <v>2.1445223403672902</v>
      </c>
      <c r="AL61" s="31">
        <v>1.7160782082004176</v>
      </c>
      <c r="AM61" s="31">
        <v>2.2857798028873417</v>
      </c>
      <c r="AN61" s="177">
        <v>3.1134635327355329</v>
      </c>
      <c r="AO61" s="177">
        <v>1.2077272315541543</v>
      </c>
      <c r="AP61" s="177">
        <v>7.6520022844189489E-2</v>
      </c>
      <c r="AQ61" s="177">
        <v>1.0154674500138514</v>
      </c>
      <c r="AR61" s="177">
        <v>4.8689694268622775E-2</v>
      </c>
      <c r="AS61" s="12"/>
      <c r="AT61" s="12"/>
      <c r="AU61" s="12"/>
      <c r="AV61" s="12"/>
      <c r="AW61" s="689"/>
      <c r="AX61" s="12"/>
      <c r="AY61" s="12"/>
      <c r="AZ61" s="12"/>
      <c r="BA61" s="12"/>
      <c r="BB61" s="791"/>
      <c r="BC61" s="12"/>
      <c r="BD61" s="12"/>
      <c r="BE61" s="12"/>
      <c r="BF61" s="12"/>
      <c r="BG61" s="12"/>
      <c r="BH61" s="12"/>
      <c r="BI61" s="12"/>
      <c r="BJ61" s="12"/>
      <c r="BK61" s="12"/>
      <c r="BL61" s="12"/>
      <c r="BM61" s="12"/>
      <c r="BN61" s="12"/>
      <c r="BO61" s="12"/>
      <c r="BP61" s="12"/>
      <c r="BQ61" s="12"/>
      <c r="BR61" s="12"/>
      <c r="BS61" s="12"/>
      <c r="BT61" s="12"/>
      <c r="BU61" s="12"/>
      <c r="BV61" s="12"/>
    </row>
    <row r="62" spans="1:74" s="68" customFormat="1" ht="18" customHeight="1" x14ac:dyDescent="0.4">
      <c r="A62" s="859"/>
      <c r="B62" s="842" t="s">
        <v>88</v>
      </c>
      <c r="C62" s="1082" t="s">
        <v>44</v>
      </c>
      <c r="D62" s="863" t="s">
        <v>44</v>
      </c>
      <c r="E62" s="11" t="s">
        <v>185</v>
      </c>
      <c r="F62" s="64"/>
      <c r="G62" s="11" t="s">
        <v>158</v>
      </c>
      <c r="H62" s="64"/>
      <c r="I62" s="11">
        <f>I63-I64</f>
        <v>238.30199647388656</v>
      </c>
      <c r="J62" s="11">
        <f>J63-J64</f>
        <v>167.10541943108461</v>
      </c>
      <c r="K62" s="11">
        <f t="shared" ref="K62:AP62" si="9">K63-K64</f>
        <v>230.4426953627393</v>
      </c>
      <c r="L62" s="11">
        <f t="shared" si="9"/>
        <v>249.20649489267916</v>
      </c>
      <c r="M62" s="11">
        <f t="shared" si="9"/>
        <v>228.70557320557305</v>
      </c>
      <c r="N62" s="11">
        <f t="shared" si="9"/>
        <v>216.97160320890606</v>
      </c>
      <c r="O62" s="11">
        <f t="shared" si="9"/>
        <v>264.10779754867184</v>
      </c>
      <c r="P62" s="11">
        <f t="shared" si="9"/>
        <v>302.32644075888606</v>
      </c>
      <c r="Q62" s="11">
        <f t="shared" si="9"/>
        <v>273.08893237380107</v>
      </c>
      <c r="R62" s="11">
        <f t="shared" si="9"/>
        <v>280.31869269055471</v>
      </c>
      <c r="S62" s="11">
        <f t="shared" si="9"/>
        <v>226.43051087206072</v>
      </c>
      <c r="T62" s="11">
        <f t="shared" si="9"/>
        <v>263.34738966869651</v>
      </c>
      <c r="U62" s="11">
        <f>U63-U64</f>
        <v>279.42915581781835</v>
      </c>
      <c r="V62" s="11">
        <f t="shared" si="9"/>
        <v>257.63780676350132</v>
      </c>
      <c r="W62" s="11">
        <f t="shared" si="9"/>
        <v>239.60836209868444</v>
      </c>
      <c r="X62" s="704">
        <f t="shared" si="9"/>
        <v>185.16106618658972</v>
      </c>
      <c r="Y62" s="11">
        <f t="shared" si="9"/>
        <v>189.21272415501136</v>
      </c>
      <c r="Z62" s="11">
        <f t="shared" si="9"/>
        <v>183.90268549207769</v>
      </c>
      <c r="AA62" s="11">
        <f t="shared" si="9"/>
        <v>160.63851217332603</v>
      </c>
      <c r="AB62" s="11">
        <f t="shared" si="9"/>
        <v>116.71004879325513</v>
      </c>
      <c r="AC62" s="11">
        <f t="shared" si="9"/>
        <v>84.411799420601625</v>
      </c>
      <c r="AD62" s="11">
        <f t="shared" si="9"/>
        <v>98.726782685505768</v>
      </c>
      <c r="AE62" s="11">
        <f t="shared" si="9"/>
        <v>83.589289785807551</v>
      </c>
      <c r="AF62" s="11">
        <f t="shared" si="9"/>
        <v>74.708501704446064</v>
      </c>
      <c r="AG62" s="11">
        <f t="shared" si="9"/>
        <v>31.896693599301088</v>
      </c>
      <c r="AH62" s="11">
        <f t="shared" si="9"/>
        <v>61.741052156079348</v>
      </c>
      <c r="AI62" s="11">
        <f t="shared" si="9"/>
        <v>59.934001713100614</v>
      </c>
      <c r="AJ62" s="11">
        <f t="shared" si="9"/>
        <v>31.319911894929575</v>
      </c>
      <c r="AK62" s="11">
        <f t="shared" si="9"/>
        <v>37.86915942906451</v>
      </c>
      <c r="AL62" s="11">
        <f t="shared" si="9"/>
        <v>28.604367521815199</v>
      </c>
      <c r="AM62" s="11">
        <f t="shared" si="9"/>
        <v>32.045116125792717</v>
      </c>
      <c r="AN62" s="11">
        <f t="shared" si="9"/>
        <v>43.33816858690497</v>
      </c>
      <c r="AO62" s="11">
        <f t="shared" si="9"/>
        <v>95.326881433433343</v>
      </c>
      <c r="AP62" s="11">
        <f t="shared" si="9"/>
        <v>56.87537960665744</v>
      </c>
      <c r="AQ62" s="11">
        <f t="shared" ref="AQ62:AR62" si="10">AQ63-AQ64</f>
        <v>79.24771088062154</v>
      </c>
      <c r="AR62" s="11">
        <f t="shared" si="10"/>
        <v>57.67271537013076</v>
      </c>
      <c r="AS62" s="12"/>
      <c r="AT62" s="12"/>
      <c r="AU62" s="12"/>
      <c r="AV62" s="12"/>
      <c r="AW62" s="689"/>
      <c r="AX62" s="12"/>
      <c r="AY62" s="12"/>
      <c r="AZ62" s="12"/>
      <c r="BA62" s="12"/>
      <c r="BB62" s="791"/>
      <c r="BC62" s="12"/>
      <c r="BD62" s="12"/>
      <c r="BE62" s="12"/>
      <c r="BF62" s="12"/>
      <c r="BG62" s="12"/>
      <c r="BH62" s="12"/>
      <c r="BI62" s="12"/>
      <c r="BJ62" s="12"/>
      <c r="BK62" s="12"/>
      <c r="BL62" s="12"/>
      <c r="BM62" s="12"/>
      <c r="BN62" s="12"/>
      <c r="BO62" s="12"/>
      <c r="BP62" s="12"/>
      <c r="BQ62" s="12"/>
      <c r="BR62" s="12"/>
      <c r="BS62" s="12"/>
      <c r="BT62" s="12"/>
      <c r="BU62" s="12"/>
      <c r="BV62" s="12"/>
    </row>
    <row r="63" spans="1:74" s="85" customFormat="1" ht="18" customHeight="1" x14ac:dyDescent="0.4">
      <c r="A63" s="860"/>
      <c r="B63" s="1083" t="s">
        <v>189</v>
      </c>
      <c r="C63" s="1082" t="s">
        <v>44</v>
      </c>
      <c r="D63" s="863" t="s">
        <v>44</v>
      </c>
      <c r="E63" s="33"/>
      <c r="F63" s="1015"/>
      <c r="G63" s="32"/>
      <c r="H63" s="1015"/>
      <c r="I63" s="1084">
        <v>313.47576241584028</v>
      </c>
      <c r="J63" s="1084">
        <v>235.26237513639822</v>
      </c>
      <c r="K63" s="1084">
        <v>298.26161968679332</v>
      </c>
      <c r="L63" s="1084">
        <v>312.87595997396954</v>
      </c>
      <c r="M63" s="1084">
        <v>293.72593541807026</v>
      </c>
      <c r="N63" s="1084">
        <v>302.77450566793561</v>
      </c>
      <c r="O63" s="1084">
        <v>343.33205947337399</v>
      </c>
      <c r="P63" s="1084">
        <v>407.46303802363394</v>
      </c>
      <c r="Q63" s="1084">
        <v>385.64107003029017</v>
      </c>
      <c r="R63" s="1084">
        <v>401.76110425151523</v>
      </c>
      <c r="S63" s="1084">
        <v>363.93194821735841</v>
      </c>
      <c r="T63" s="1084">
        <v>397.56431831392149</v>
      </c>
      <c r="U63" s="1084">
        <v>400.59633788790001</v>
      </c>
      <c r="V63" s="1084">
        <v>375.03487206746877</v>
      </c>
      <c r="W63" s="1084">
        <v>383.19609369240527</v>
      </c>
      <c r="X63" s="1292">
        <v>338.82301665764294</v>
      </c>
      <c r="Y63" s="1084">
        <v>344.92949394489085</v>
      </c>
      <c r="Z63" s="1084">
        <v>334.38998352031371</v>
      </c>
      <c r="AA63" s="1084">
        <v>312.07990367862755</v>
      </c>
      <c r="AB63" s="1084">
        <v>198.47676810334167</v>
      </c>
      <c r="AC63" s="1084">
        <v>143.37110380144452</v>
      </c>
      <c r="AD63" s="1084">
        <v>142.19178061451245</v>
      </c>
      <c r="AE63" s="1084">
        <v>122.06650231828583</v>
      </c>
      <c r="AF63" s="1084">
        <v>117.11793253763248</v>
      </c>
      <c r="AG63" s="1084">
        <v>82.750523798494953</v>
      </c>
      <c r="AH63" s="1084">
        <v>110.76502784122464</v>
      </c>
      <c r="AI63" s="1084">
        <v>135.96613100219074</v>
      </c>
      <c r="AJ63" s="1084">
        <v>106.78372165531381</v>
      </c>
      <c r="AK63" s="1084">
        <v>101.6549177136085</v>
      </c>
      <c r="AL63" s="1084">
        <v>87.802905610590798</v>
      </c>
      <c r="AM63" s="1084">
        <v>59.898930785035084</v>
      </c>
      <c r="AN63" s="1084">
        <v>77.920215441243968</v>
      </c>
      <c r="AO63" s="1084">
        <v>131.6270106117652</v>
      </c>
      <c r="AP63" s="1084">
        <v>109.74460216515767</v>
      </c>
      <c r="AQ63" s="1084">
        <v>133.11341694896603</v>
      </c>
      <c r="AR63" s="1084">
        <v>111.83964068042062</v>
      </c>
      <c r="AS63" s="1085"/>
      <c r="AT63" s="1085"/>
      <c r="AU63" s="1085"/>
      <c r="AV63" s="1085"/>
      <c r="AW63" s="1086"/>
      <c r="AX63" s="1085"/>
      <c r="AY63" s="1085"/>
      <c r="AZ63" s="1085"/>
      <c r="BA63" s="1085"/>
      <c r="BB63" s="1087"/>
      <c r="BC63" s="1085"/>
      <c r="BD63" s="1085"/>
      <c r="BE63" s="1085"/>
      <c r="BF63" s="1085"/>
      <c r="BG63" s="1085"/>
      <c r="BH63" s="1085"/>
      <c r="BI63" s="1085"/>
      <c r="BJ63" s="1085"/>
      <c r="BK63" s="1085"/>
      <c r="BL63" s="1085"/>
      <c r="BM63" s="1085"/>
      <c r="BN63" s="1085"/>
      <c r="BO63" s="1085"/>
      <c r="BP63" s="1085"/>
      <c r="BQ63" s="1085"/>
      <c r="BR63" s="1085"/>
      <c r="BS63" s="1085"/>
      <c r="BT63" s="1085"/>
      <c r="BU63" s="1085"/>
      <c r="BV63" s="1085"/>
    </row>
    <row r="64" spans="1:74" s="85" customFormat="1" ht="18" customHeight="1" x14ac:dyDescent="0.4">
      <c r="A64" s="860"/>
      <c r="B64" s="1083" t="s">
        <v>50</v>
      </c>
      <c r="C64" s="1082" t="s">
        <v>44</v>
      </c>
      <c r="D64" s="863" t="s">
        <v>44</v>
      </c>
      <c r="E64" s="33"/>
      <c r="F64" s="1015"/>
      <c r="G64" s="32"/>
      <c r="H64" s="1015"/>
      <c r="I64" s="1084">
        <v>75.173765941953732</v>
      </c>
      <c r="J64" s="1084">
        <v>68.156955705313621</v>
      </c>
      <c r="K64" s="1084">
        <v>67.818924324054024</v>
      </c>
      <c r="L64" s="1084">
        <v>63.669465081290383</v>
      </c>
      <c r="M64" s="1084">
        <v>65.020362212497204</v>
      </c>
      <c r="N64" s="1084">
        <v>85.802902459029568</v>
      </c>
      <c r="O64" s="1084">
        <v>79.224261924702134</v>
      </c>
      <c r="P64" s="1084">
        <v>105.13659726474789</v>
      </c>
      <c r="Q64" s="1084">
        <v>112.55213765648912</v>
      </c>
      <c r="R64" s="1084">
        <v>121.44241156096055</v>
      </c>
      <c r="S64" s="1084">
        <v>137.50143734529769</v>
      </c>
      <c r="T64" s="1084">
        <v>134.21692864522498</v>
      </c>
      <c r="U64" s="1084">
        <v>121.16718207008162</v>
      </c>
      <c r="V64" s="1084">
        <v>117.39706530396745</v>
      </c>
      <c r="W64" s="1084">
        <v>143.58773159372083</v>
      </c>
      <c r="X64" s="1292">
        <v>153.66195047105322</v>
      </c>
      <c r="Y64" s="1084">
        <v>155.71676978987949</v>
      </c>
      <c r="Z64" s="1084">
        <v>150.48729802823601</v>
      </c>
      <c r="AA64" s="1084">
        <v>151.44139150530151</v>
      </c>
      <c r="AB64" s="1084">
        <v>81.766719310086543</v>
      </c>
      <c r="AC64" s="1084">
        <v>58.959304380842894</v>
      </c>
      <c r="AD64" s="1084">
        <v>43.464997929006685</v>
      </c>
      <c r="AE64" s="1084">
        <v>38.477212532478283</v>
      </c>
      <c r="AF64" s="1084">
        <v>42.40943083318642</v>
      </c>
      <c r="AG64" s="1084">
        <v>50.853830199193865</v>
      </c>
      <c r="AH64" s="1084">
        <v>49.023975685145288</v>
      </c>
      <c r="AI64" s="1084">
        <v>76.032129289090122</v>
      </c>
      <c r="AJ64" s="1084">
        <v>75.463809760384237</v>
      </c>
      <c r="AK64" s="1084">
        <v>63.785758284543988</v>
      </c>
      <c r="AL64" s="1084">
        <v>59.198538088775599</v>
      </c>
      <c r="AM64" s="1084">
        <v>27.853814659242364</v>
      </c>
      <c r="AN64" s="1084">
        <v>34.582046854338998</v>
      </c>
      <c r="AO64" s="1084">
        <v>36.300129178331858</v>
      </c>
      <c r="AP64" s="1084">
        <v>52.869222558500233</v>
      </c>
      <c r="AQ64" s="1084">
        <v>53.865706068344494</v>
      </c>
      <c r="AR64" s="1084">
        <v>54.166925310289855</v>
      </c>
      <c r="AS64" s="1085"/>
      <c r="AT64" s="1085"/>
      <c r="AU64" s="1085"/>
      <c r="AV64" s="1085"/>
      <c r="AW64" s="1086"/>
      <c r="AX64" s="1085"/>
      <c r="AY64" s="1085"/>
      <c r="AZ64" s="1085"/>
      <c r="BA64" s="1085"/>
      <c r="BB64" s="1087"/>
      <c r="BC64" s="1085"/>
      <c r="BD64" s="1085"/>
      <c r="BE64" s="1085"/>
      <c r="BF64" s="1085"/>
      <c r="BG64" s="1085"/>
      <c r="BH64" s="1085"/>
      <c r="BI64" s="1085"/>
      <c r="BJ64" s="1085"/>
      <c r="BK64" s="1085"/>
      <c r="BL64" s="1085"/>
      <c r="BM64" s="1085"/>
      <c r="BN64" s="1085"/>
      <c r="BO64" s="1085"/>
      <c r="BP64" s="1085"/>
      <c r="BQ64" s="1085"/>
      <c r="BR64" s="1085"/>
      <c r="BS64" s="1085"/>
      <c r="BT64" s="1085"/>
      <c r="BU64" s="1085"/>
      <c r="BV64" s="1085"/>
    </row>
    <row r="65" spans="1:74" s="68" customFormat="1" ht="18" customHeight="1" x14ac:dyDescent="0.4">
      <c r="A65" s="859"/>
      <c r="B65" s="842" t="s">
        <v>51</v>
      </c>
      <c r="C65" s="1082" t="s">
        <v>44</v>
      </c>
      <c r="D65" s="863" t="s">
        <v>44</v>
      </c>
      <c r="E65" s="11" t="s">
        <v>10</v>
      </c>
      <c r="F65" s="64"/>
      <c r="G65" s="10" t="s">
        <v>121</v>
      </c>
      <c r="H65" s="64"/>
      <c r="I65" s="11">
        <v>61.065589642877526</v>
      </c>
      <c r="J65" s="11">
        <v>69.64508735406244</v>
      </c>
      <c r="K65" s="11">
        <v>67.282432396869979</v>
      </c>
      <c r="L65" s="11">
        <v>85.063792469926852</v>
      </c>
      <c r="M65" s="11">
        <v>69.810048261690142</v>
      </c>
      <c r="N65" s="11">
        <v>82.300329775140781</v>
      </c>
      <c r="O65" s="11">
        <v>81.375379452684783</v>
      </c>
      <c r="P65" s="11">
        <v>66.981909239667516</v>
      </c>
      <c r="Q65" s="11">
        <v>84.128774259520654</v>
      </c>
      <c r="R65" s="11">
        <v>112.12388902349248</v>
      </c>
      <c r="S65" s="11">
        <v>154.14036400492714</v>
      </c>
      <c r="T65" s="11">
        <v>144.88444962773332</v>
      </c>
      <c r="U65" s="11">
        <v>148.49338607446219</v>
      </c>
      <c r="V65" s="11">
        <v>137.40319231256251</v>
      </c>
      <c r="W65" s="11">
        <v>124.03082392622254</v>
      </c>
      <c r="X65" s="704">
        <v>119.26047094208158</v>
      </c>
      <c r="Y65" s="11">
        <v>129.44840884767729</v>
      </c>
      <c r="Z65" s="11">
        <v>150.13672395880565</v>
      </c>
      <c r="AA65" s="11">
        <v>188.7494684116991</v>
      </c>
      <c r="AB65" s="11">
        <v>172.64175584137766</v>
      </c>
      <c r="AC65" s="11">
        <v>194.72300000000001</v>
      </c>
      <c r="AD65" s="11">
        <v>183.37799999999999</v>
      </c>
      <c r="AE65" s="11">
        <v>175.06768</v>
      </c>
      <c r="AF65" s="11">
        <v>176.928</v>
      </c>
      <c r="AG65" s="11">
        <v>206.00103132749297</v>
      </c>
      <c r="AH65" s="11">
        <v>172.26500096927683</v>
      </c>
      <c r="AI65" s="11">
        <v>162.99524576158018</v>
      </c>
      <c r="AJ65" s="11">
        <v>151.91344102803788</v>
      </c>
      <c r="AK65" s="11">
        <v>164.66100135548007</v>
      </c>
      <c r="AL65" s="11">
        <v>175.37661233554124</v>
      </c>
      <c r="AM65" s="11">
        <v>177.2397261242881</v>
      </c>
      <c r="AN65" s="11">
        <v>166.22976688024966</v>
      </c>
      <c r="AO65" s="11">
        <v>177.8928390442361</v>
      </c>
      <c r="AP65" s="11">
        <v>176.6385789664966</v>
      </c>
      <c r="AQ65" s="11">
        <v>223.29619818990452</v>
      </c>
      <c r="AR65" s="11">
        <v>214.07609476451782</v>
      </c>
      <c r="AS65" s="12"/>
      <c r="AT65" s="12"/>
      <c r="AU65" s="12"/>
      <c r="AV65" s="12"/>
      <c r="AW65" s="689"/>
      <c r="AX65" s="12"/>
      <c r="AY65" s="12"/>
      <c r="AZ65" s="12"/>
      <c r="BA65" s="12"/>
      <c r="BB65" s="791"/>
      <c r="BC65" s="12"/>
      <c r="BD65" s="12"/>
      <c r="BE65" s="12"/>
      <c r="BF65" s="12"/>
      <c r="BG65" s="12"/>
      <c r="BH65" s="12"/>
      <c r="BI65" s="12"/>
      <c r="BJ65" s="12"/>
      <c r="BK65" s="12"/>
      <c r="BL65" s="12"/>
      <c r="BM65" s="12"/>
      <c r="BN65" s="12"/>
      <c r="BO65" s="12"/>
      <c r="BP65" s="12"/>
      <c r="BQ65" s="12"/>
      <c r="BR65" s="12"/>
      <c r="BS65" s="12"/>
      <c r="BT65" s="12"/>
      <c r="BU65" s="12"/>
      <c r="BV65" s="12"/>
    </row>
    <row r="66" spans="1:74" s="68" customFormat="1" ht="18" customHeight="1" x14ac:dyDescent="0.4">
      <c r="A66" s="859"/>
      <c r="B66" s="842" t="s">
        <v>87</v>
      </c>
      <c r="C66" s="1082" t="s">
        <v>44</v>
      </c>
      <c r="D66" s="863" t="s">
        <v>44</v>
      </c>
      <c r="E66" s="22" t="s">
        <v>23</v>
      </c>
      <c r="F66" s="64"/>
      <c r="G66" s="10" t="s">
        <v>164</v>
      </c>
      <c r="H66" s="64"/>
      <c r="I66" s="11">
        <f>I67-SUM(I54:I55,I56:I58,I62,I65)</f>
        <v>50.342204159851462</v>
      </c>
      <c r="J66" s="11">
        <f t="shared" ref="J66:AP66" si="11">J67-SUM(J54:J55,J56:J58,J62,J65)</f>
        <v>48.498805418342954</v>
      </c>
      <c r="K66" s="11">
        <f t="shared" si="11"/>
        <v>48.148413904482595</v>
      </c>
      <c r="L66" s="11">
        <f t="shared" si="11"/>
        <v>47.475988164284445</v>
      </c>
      <c r="M66" s="11">
        <f t="shared" si="11"/>
        <v>45.391938894530767</v>
      </c>
      <c r="N66" s="11">
        <f t="shared" si="11"/>
        <v>47.352969038068522</v>
      </c>
      <c r="O66" s="11">
        <f t="shared" si="11"/>
        <v>49.893768925950098</v>
      </c>
      <c r="P66" s="11">
        <f t="shared" si="11"/>
        <v>35.097309740981018</v>
      </c>
      <c r="Q66" s="11">
        <f t="shared" si="11"/>
        <v>49.469318100487726</v>
      </c>
      <c r="R66" s="11">
        <f t="shared" si="11"/>
        <v>47.558471896128594</v>
      </c>
      <c r="S66" s="11">
        <f t="shared" si="11"/>
        <v>39.987057147892301</v>
      </c>
      <c r="T66" s="11">
        <f t="shared" si="11"/>
        <v>50.754351367253548</v>
      </c>
      <c r="U66" s="11">
        <f t="shared" si="11"/>
        <v>52.65407422943963</v>
      </c>
      <c r="V66" s="11">
        <f t="shared" si="11"/>
        <v>29.198105533242142</v>
      </c>
      <c r="W66" s="11">
        <f t="shared" si="11"/>
        <v>49.041219420304515</v>
      </c>
      <c r="X66" s="704">
        <f t="shared" si="11"/>
        <v>50.968912990548233</v>
      </c>
      <c r="Y66" s="11">
        <f t="shared" si="11"/>
        <v>49.291996539096999</v>
      </c>
      <c r="Z66" s="11">
        <f t="shared" si="11"/>
        <v>45.722033120921878</v>
      </c>
      <c r="AA66" s="11">
        <f t="shared" si="11"/>
        <v>26.881930503842796</v>
      </c>
      <c r="AB66" s="11">
        <f t="shared" si="11"/>
        <v>23.690513819441549</v>
      </c>
      <c r="AC66" s="11">
        <f t="shared" si="11"/>
        <v>33.307346801213725</v>
      </c>
      <c r="AD66" s="11">
        <f t="shared" si="11"/>
        <v>23.836587536506158</v>
      </c>
      <c r="AE66" s="11">
        <f t="shared" si="11"/>
        <v>17.580125902008831</v>
      </c>
      <c r="AF66" s="11">
        <f t="shared" si="11"/>
        <v>14.640488185458253</v>
      </c>
      <c r="AG66" s="11">
        <f t="shared" si="11"/>
        <v>21.688413550032465</v>
      </c>
      <c r="AH66" s="11">
        <f t="shared" si="11"/>
        <v>13.151317153560967</v>
      </c>
      <c r="AI66" s="11">
        <f t="shared" si="11"/>
        <v>10.7901146400784</v>
      </c>
      <c r="AJ66" s="11">
        <f t="shared" si="11"/>
        <v>14.880254535813492</v>
      </c>
      <c r="AK66" s="11">
        <f t="shared" si="11"/>
        <v>11.882980288726458</v>
      </c>
      <c r="AL66" s="11">
        <f t="shared" si="11"/>
        <v>15.678156608108111</v>
      </c>
      <c r="AM66" s="11">
        <f t="shared" si="11"/>
        <v>11.880186128248852</v>
      </c>
      <c r="AN66" s="11">
        <f t="shared" si="11"/>
        <v>13.347221742230886</v>
      </c>
      <c r="AO66" s="11">
        <f t="shared" si="11"/>
        <v>18.836367224749665</v>
      </c>
      <c r="AP66" s="11">
        <f t="shared" si="11"/>
        <v>20.096857209490054</v>
      </c>
      <c r="AQ66" s="11">
        <f t="shared" ref="AQ66:AR66" si="12">AQ67-SUM(AQ54:AQ55,AQ56:AQ58,AQ62,AQ65)</f>
        <v>27.787031542872228</v>
      </c>
      <c r="AR66" s="11">
        <f t="shared" si="12"/>
        <v>14.418335968391148</v>
      </c>
      <c r="AS66" s="12"/>
      <c r="AT66" s="12"/>
      <c r="AU66" s="12"/>
      <c r="AV66" s="12"/>
      <c r="AW66" s="689"/>
      <c r="AX66" s="12"/>
      <c r="AY66" s="12"/>
      <c r="AZ66" s="12"/>
      <c r="BA66" s="12"/>
      <c r="BB66" s="791"/>
      <c r="BC66" s="12"/>
      <c r="BD66" s="12"/>
      <c r="BE66" s="12"/>
      <c r="BF66" s="12"/>
      <c r="BG66" s="12"/>
      <c r="BH66" s="12"/>
      <c r="BI66" s="12"/>
      <c r="BJ66" s="12"/>
      <c r="BK66" s="12"/>
      <c r="BL66" s="12"/>
      <c r="BM66" s="12"/>
      <c r="BN66" s="12"/>
      <c r="BO66" s="12"/>
      <c r="BP66" s="12"/>
      <c r="BQ66" s="12"/>
      <c r="BR66" s="12"/>
      <c r="BS66" s="12"/>
      <c r="BT66" s="12"/>
      <c r="BU66" s="12"/>
      <c r="BV66" s="12"/>
    </row>
    <row r="67" spans="1:74" s="63" customFormat="1" ht="18" customHeight="1" x14ac:dyDescent="0.4">
      <c r="A67" s="861"/>
      <c r="B67" s="842" t="s">
        <v>38</v>
      </c>
      <c r="C67" s="1082" t="s">
        <v>44</v>
      </c>
      <c r="D67" s="863" t="s">
        <v>44</v>
      </c>
      <c r="E67" s="25" t="s">
        <v>117</v>
      </c>
      <c r="F67" s="89"/>
      <c r="G67" s="13"/>
      <c r="H67" s="89"/>
      <c r="I67" s="14">
        <v>1840.5668388442091</v>
      </c>
      <c r="J67" s="14">
        <v>1755.4732847522391</v>
      </c>
      <c r="K67" s="14">
        <v>1899.1390909294269</v>
      </c>
      <c r="L67" s="14">
        <v>2003.7694775747605</v>
      </c>
      <c r="M67" s="14">
        <v>1952.6028642480242</v>
      </c>
      <c r="N67" s="14">
        <v>2057.6669871885515</v>
      </c>
      <c r="O67" s="14">
        <v>2113.0117993479976</v>
      </c>
      <c r="P67" s="14">
        <v>2152.8547183089518</v>
      </c>
      <c r="Q67" s="14">
        <v>2146.0406363316215</v>
      </c>
      <c r="R67" s="14">
        <v>2202.6057421057922</v>
      </c>
      <c r="S67" s="14">
        <v>2184.7135263296391</v>
      </c>
      <c r="T67" s="14">
        <v>2073.0340916136292</v>
      </c>
      <c r="U67" s="14">
        <v>2182.7454499050432</v>
      </c>
      <c r="V67" s="14">
        <v>2171.4373182141999</v>
      </c>
      <c r="W67" s="14">
        <v>2269.9344150834595</v>
      </c>
      <c r="X67" s="691">
        <v>2156.334282529313</v>
      </c>
      <c r="Y67" s="14">
        <v>2220.6442962749834</v>
      </c>
      <c r="Z67" s="14">
        <v>2361.9627639133205</v>
      </c>
      <c r="AA67" s="14">
        <v>2233.937527656708</v>
      </c>
      <c r="AB67" s="14">
        <v>2136.2397232047906</v>
      </c>
      <c r="AC67" s="14">
        <v>2026.1766259143124</v>
      </c>
      <c r="AD67" s="14">
        <v>1904.6955362083017</v>
      </c>
      <c r="AE67" s="14">
        <v>1855.7178237015762</v>
      </c>
      <c r="AF67" s="14">
        <v>1820.6006078175951</v>
      </c>
      <c r="AG67" s="14">
        <v>1828.3398588011544</v>
      </c>
      <c r="AH67" s="14">
        <v>1860.0110441334455</v>
      </c>
      <c r="AI67" s="14">
        <v>1842.7468366568644</v>
      </c>
      <c r="AJ67" s="14">
        <v>1877.1120048856562</v>
      </c>
      <c r="AK67" s="14">
        <v>1922.5433821193596</v>
      </c>
      <c r="AL67" s="14">
        <v>1869.5262204037833</v>
      </c>
      <c r="AM67" s="14">
        <v>1669.0375785598842</v>
      </c>
      <c r="AN67" s="14">
        <v>1757.3742296836915</v>
      </c>
      <c r="AO67" s="14">
        <v>1814.1483995976805</v>
      </c>
      <c r="AP67" s="14">
        <v>1781.7503964892981</v>
      </c>
      <c r="AQ67" s="14">
        <v>1866.4802989032339</v>
      </c>
      <c r="AR67" s="14">
        <v>1804.0629487280448</v>
      </c>
      <c r="AS67" s="12"/>
      <c r="AT67" s="12"/>
      <c r="AU67" s="12"/>
      <c r="AV67" s="12"/>
      <c r="AW67" s="689"/>
      <c r="AX67" s="12"/>
      <c r="AY67" s="12"/>
      <c r="AZ67" s="12"/>
      <c r="BA67" s="12"/>
      <c r="BB67" s="791"/>
      <c r="BC67" s="12"/>
      <c r="BD67" s="12"/>
      <c r="BE67" s="12"/>
      <c r="BF67" s="12"/>
      <c r="BG67" s="12"/>
      <c r="BH67" s="12"/>
      <c r="BI67" s="12"/>
      <c r="BJ67" s="12"/>
      <c r="BK67" s="12"/>
      <c r="BL67" s="12"/>
      <c r="BM67" s="12"/>
      <c r="BN67" s="12"/>
      <c r="BO67" s="12"/>
      <c r="BP67" s="12"/>
      <c r="BQ67" s="12"/>
      <c r="BR67" s="12"/>
      <c r="BS67" s="12"/>
      <c r="BT67" s="12"/>
      <c r="BU67" s="12"/>
      <c r="BV67" s="12"/>
    </row>
    <row r="68" spans="1:74" s="1080" customFormat="1" ht="15" customHeight="1" x14ac:dyDescent="0.4">
      <c r="A68" s="1078" t="s">
        <v>383</v>
      </c>
      <c r="B68" s="1078"/>
      <c r="C68" s="1079"/>
      <c r="D68" s="893"/>
      <c r="E68" s="95" t="s">
        <v>44</v>
      </c>
      <c r="F68" s="1010"/>
      <c r="G68" s="153"/>
      <c r="H68" s="1010"/>
      <c r="I68" s="95">
        <f t="shared" ref="I68:AP68" si="13">I67-I54-I55-I65</f>
        <v>487.84245916633506</v>
      </c>
      <c r="J68" s="95">
        <f t="shared" si="13"/>
        <v>397.54106960779097</v>
      </c>
      <c r="K68" s="95">
        <f t="shared" si="13"/>
        <v>450.03081711186923</v>
      </c>
      <c r="L68" s="95">
        <f t="shared" si="13"/>
        <v>482.53035443829879</v>
      </c>
      <c r="M68" s="95">
        <f t="shared" si="13"/>
        <v>455.47317812302123</v>
      </c>
      <c r="N68" s="95">
        <f t="shared" si="13"/>
        <v>495.37997734252747</v>
      </c>
      <c r="O68" s="95">
        <f t="shared" si="13"/>
        <v>550.89963235490995</v>
      </c>
      <c r="P68" s="95">
        <f t="shared" si="13"/>
        <v>587.29586539652985</v>
      </c>
      <c r="Q68" s="95">
        <f t="shared" si="13"/>
        <v>569.96189663173584</v>
      </c>
      <c r="R68" s="95">
        <f t="shared" si="13"/>
        <v>589.92682511232817</v>
      </c>
      <c r="S68" s="95">
        <f t="shared" si="13"/>
        <v>523.75555443883457</v>
      </c>
      <c r="T68" s="95">
        <f t="shared" si="13"/>
        <v>571.27657251190772</v>
      </c>
      <c r="U68" s="95">
        <f t="shared" si="13"/>
        <v>570.72878192539383</v>
      </c>
      <c r="V68" s="95">
        <f t="shared" si="13"/>
        <v>524.83999727525293</v>
      </c>
      <c r="W68" s="95">
        <f t="shared" si="13"/>
        <v>578.80938182913735</v>
      </c>
      <c r="X68" s="1074">
        <f t="shared" si="13"/>
        <v>521.83081346747224</v>
      </c>
      <c r="Y68" s="95">
        <f t="shared" si="13"/>
        <v>532.71831569993765</v>
      </c>
      <c r="Z68" s="95">
        <f t="shared" si="13"/>
        <v>529.08958271564757</v>
      </c>
      <c r="AA68" s="95">
        <f t="shared" si="13"/>
        <v>478.28669859265131</v>
      </c>
      <c r="AB68" s="95">
        <f t="shared" si="13"/>
        <v>339.6787408731484</v>
      </c>
      <c r="AC68" s="95">
        <f t="shared" si="13"/>
        <v>290.98735924741226</v>
      </c>
      <c r="AD68" s="95">
        <f t="shared" si="13"/>
        <v>268.42393377135357</v>
      </c>
      <c r="AE68" s="95">
        <f t="shared" si="13"/>
        <v>238.83180391070835</v>
      </c>
      <c r="AF68" s="95">
        <f t="shared" si="13"/>
        <v>223.77848724143837</v>
      </c>
      <c r="AG68" s="95">
        <f t="shared" si="13"/>
        <v>211.10919355103005</v>
      </c>
      <c r="AH68" s="95">
        <f t="shared" si="13"/>
        <v>238.25767745837967</v>
      </c>
      <c r="AI68" s="95">
        <f t="shared" si="13"/>
        <v>256.23706047000013</v>
      </c>
      <c r="AJ68" s="95">
        <f t="shared" si="13"/>
        <v>239.02738240944763</v>
      </c>
      <c r="AK68" s="95">
        <f t="shared" si="13"/>
        <v>227.97303091450974</v>
      </c>
      <c r="AL68" s="95">
        <f t="shared" si="13"/>
        <v>212.35585946899269</v>
      </c>
      <c r="AM68" s="95">
        <f t="shared" si="13"/>
        <v>145.37709341843419</v>
      </c>
      <c r="AN68" s="95">
        <f t="shared" si="13"/>
        <v>155.40478263605286</v>
      </c>
      <c r="AO68" s="95">
        <f t="shared" si="13"/>
        <v>222.42955769094158</v>
      </c>
      <c r="AP68" s="95">
        <f t="shared" si="13"/>
        <v>191.21882503180763</v>
      </c>
      <c r="AQ68" s="95">
        <f t="shared" ref="AQ68:AR68" si="14">AQ67-AQ54-AQ55-AQ65</f>
        <v>217.6578649455619</v>
      </c>
      <c r="AR68" s="95">
        <f t="shared" si="14"/>
        <v>190.65557942967135</v>
      </c>
      <c r="AS68" s="170"/>
      <c r="AT68" s="170"/>
      <c r="AU68" s="170"/>
      <c r="AV68" s="170"/>
      <c r="AW68" s="690"/>
      <c r="AX68" s="170"/>
      <c r="AY68" s="170"/>
      <c r="AZ68" s="170"/>
      <c r="BA68" s="170"/>
      <c r="BB68" s="792"/>
      <c r="BC68" s="170"/>
      <c r="BD68" s="170"/>
      <c r="BE68" s="170"/>
      <c r="BF68" s="170"/>
      <c r="BG68" s="170"/>
      <c r="BH68" s="170"/>
      <c r="BI68" s="170"/>
      <c r="BJ68" s="170"/>
      <c r="BK68" s="170"/>
      <c r="BL68" s="170"/>
      <c r="BM68" s="170"/>
      <c r="BN68" s="170"/>
      <c r="BO68" s="170"/>
      <c r="BP68" s="170"/>
      <c r="BQ68" s="170"/>
      <c r="BR68" s="170"/>
      <c r="BS68" s="170"/>
      <c r="BT68" s="170"/>
      <c r="BU68" s="170"/>
      <c r="BV68" s="170"/>
    </row>
    <row r="69" spans="1:74" s="1073" customFormat="1" x14ac:dyDescent="0.4">
      <c r="A69" s="1068"/>
      <c r="B69" s="1077"/>
      <c r="C69" s="867" t="s">
        <v>44</v>
      </c>
      <c r="D69" s="891"/>
      <c r="E69" s="622" t="str">
        <f>$E$14</f>
        <v>Losunarspá: Sviðsmynd byggð á aðgerðum stjórnvalda</v>
      </c>
      <c r="F69" s="94"/>
      <c r="G69" s="622" t="str">
        <f>$G$14</f>
        <v>Emission Projections: Government Policy-Based Scenario</v>
      </c>
      <c r="H69" s="94"/>
      <c r="I69" s="15"/>
      <c r="J69" s="15"/>
      <c r="K69" s="15"/>
      <c r="L69" s="15"/>
      <c r="M69" s="15"/>
      <c r="N69" s="15"/>
      <c r="O69" s="15"/>
      <c r="P69" s="15"/>
      <c r="Q69" s="15"/>
      <c r="R69" s="15"/>
      <c r="S69" s="15"/>
      <c r="T69" s="15"/>
      <c r="U69" s="15"/>
      <c r="V69" s="15"/>
      <c r="W69" s="15"/>
      <c r="X69" s="690"/>
      <c r="Y69" s="15"/>
      <c r="Z69" s="15"/>
      <c r="AA69" s="15"/>
      <c r="AB69" s="15"/>
      <c r="AC69" s="15"/>
      <c r="AD69" s="15"/>
      <c r="AE69" s="15"/>
      <c r="AF69" s="15"/>
      <c r="AG69" s="15"/>
      <c r="AH69" s="15"/>
      <c r="AI69" s="15"/>
      <c r="AJ69" s="15"/>
      <c r="AK69" s="15"/>
      <c r="AL69" s="15"/>
      <c r="AM69" s="15"/>
      <c r="AN69" s="982">
        <f>SUM(AN54:AN55,AN57:AN58,AN65,AN66)/AN266</f>
        <v>0.58882992697889813</v>
      </c>
      <c r="AO69" s="982">
        <f>SUM(AO54:AO55,AO57:AO58,AO65,AO66)/AO266</f>
        <v>0.58742797165570559</v>
      </c>
      <c r="AP69" s="982">
        <f>SUM(AP54:AP55,AP57:AP58,AP65,AP66)/AP266</f>
        <v>0.60466779040649676</v>
      </c>
      <c r="AQ69" s="982">
        <f>SUM(AQ54:AQ55,AQ57:AQ58,AQ65,AQ66)/AQ266</f>
        <v>0.61503023258823042</v>
      </c>
      <c r="AR69" s="982">
        <f>SUM(AR54:AR55,AR57:AR58,AR65,AR66)/AR266</f>
        <v>0.61822530567762635</v>
      </c>
      <c r="AS69" s="35"/>
      <c r="AT69" s="35"/>
      <c r="AU69" s="35"/>
      <c r="AV69" s="35"/>
      <c r="AW69" s="82"/>
      <c r="AX69" s="35"/>
      <c r="AY69" s="35"/>
      <c r="AZ69" s="35"/>
      <c r="BA69" s="35"/>
      <c r="BB69" s="82"/>
      <c r="BC69" s="35"/>
      <c r="BD69" s="35"/>
      <c r="BE69" s="35"/>
      <c r="BF69" s="35"/>
      <c r="BG69" s="35"/>
      <c r="BH69" s="35"/>
      <c r="BI69" s="35"/>
      <c r="BJ69" s="35"/>
      <c r="BK69" s="35"/>
      <c r="BL69" s="35"/>
      <c r="BM69" s="35"/>
      <c r="BN69" s="35"/>
      <c r="BO69" s="35"/>
      <c r="BP69" s="35"/>
      <c r="BQ69" s="35"/>
      <c r="BR69" s="35"/>
      <c r="BS69" s="35"/>
      <c r="BT69" s="35"/>
      <c r="BU69" s="35"/>
      <c r="BV69" s="35"/>
    </row>
    <row r="70" spans="1:74" s="68" customFormat="1" ht="18" customHeight="1" x14ac:dyDescent="0.4">
      <c r="A70" s="859"/>
      <c r="B70" s="842" t="s">
        <v>46</v>
      </c>
      <c r="C70" s="866" t="str">
        <f t="shared" ref="C70:C82" si="15">B70&amp;" "&amp;D70</f>
        <v>1.A.4.c.iii Agriculture/Forestry/Fishing - Fishing kt CO2-eq WEM</v>
      </c>
      <c r="D70" s="891" t="s">
        <v>377</v>
      </c>
      <c r="E70" s="11" t="s">
        <v>5</v>
      </c>
      <c r="F70" s="1013"/>
      <c r="G70" s="10" t="s">
        <v>118</v>
      </c>
      <c r="H70" s="1013"/>
      <c r="I70" s="1075"/>
      <c r="J70" s="1075"/>
      <c r="K70" s="1075"/>
      <c r="L70" s="1075"/>
      <c r="M70" s="1075"/>
      <c r="N70" s="1075"/>
      <c r="O70" s="1075"/>
      <c r="P70" s="1075"/>
      <c r="Q70" s="1075"/>
      <c r="R70" s="1075"/>
      <c r="S70" s="1075"/>
      <c r="T70" s="1075"/>
      <c r="U70" s="1075"/>
      <c r="V70" s="1075"/>
      <c r="W70" s="1075"/>
      <c r="X70" s="1289"/>
      <c r="Y70" s="1075"/>
      <c r="Z70" s="1075"/>
      <c r="AA70" s="1075"/>
      <c r="AB70" s="1075"/>
      <c r="AC70" s="1075"/>
      <c r="AD70" s="1075"/>
      <c r="AE70" s="1075"/>
      <c r="AF70" s="1075"/>
      <c r="AG70" s="1075"/>
      <c r="AH70" s="1075"/>
      <c r="AI70" s="1075"/>
      <c r="AJ70" s="1075"/>
      <c r="AK70" s="1075"/>
      <c r="AL70" s="1075"/>
      <c r="AM70" s="1075"/>
      <c r="AN70" s="1075"/>
      <c r="AO70" s="1075"/>
      <c r="AP70" s="1088"/>
      <c r="AQ70" s="1088"/>
      <c r="AR70" s="168">
        <f t="shared" ref="AR70:AR84" si="16">AR54</f>
        <v>482.07188977314064</v>
      </c>
      <c r="AS70" s="23">
        <v>473.86931408770465</v>
      </c>
      <c r="AT70" s="23">
        <v>467.20070580291656</v>
      </c>
      <c r="AU70" s="23">
        <v>467.02341537743479</v>
      </c>
      <c r="AV70" s="23">
        <v>462.57871330702324</v>
      </c>
      <c r="AW70" s="703">
        <v>456.4668591654148</v>
      </c>
      <c r="AX70" s="23">
        <v>450.04195860010151</v>
      </c>
      <c r="AY70" s="23">
        <v>445.1793264985896</v>
      </c>
      <c r="AZ70" s="23">
        <v>440.77740550576431</v>
      </c>
      <c r="BA70" s="23">
        <v>436.75852524633831</v>
      </c>
      <c r="BB70" s="703">
        <v>432.85529070911139</v>
      </c>
      <c r="BC70" s="23">
        <v>428.78787295729438</v>
      </c>
      <c r="BD70" s="23">
        <v>424.36043717317062</v>
      </c>
      <c r="BE70" s="23">
        <v>419.44248839254652</v>
      </c>
      <c r="BF70" s="23">
        <v>413.88800711766459</v>
      </c>
      <c r="BG70" s="23">
        <v>407.55722446584582</v>
      </c>
      <c r="BH70" s="23">
        <v>400.30107302193113</v>
      </c>
      <c r="BI70" s="23">
        <v>391.90209849476474</v>
      </c>
      <c r="BJ70" s="23">
        <v>382.14288167478105</v>
      </c>
      <c r="BK70" s="23">
        <v>370.77494193886446</v>
      </c>
      <c r="BL70" s="23">
        <v>357.54984237338471</v>
      </c>
      <c r="BM70" s="23">
        <v>342.23474115145405</v>
      </c>
      <c r="BN70" s="23">
        <v>324.7212507604001</v>
      </c>
      <c r="BO70" s="23">
        <v>304.82014698320813</v>
      </c>
      <c r="BP70" s="23">
        <v>282.67814418396694</v>
      </c>
      <c r="BQ70" s="23">
        <v>258.25342862871889</v>
      </c>
      <c r="BR70" s="23">
        <v>232.36694979853797</v>
      </c>
      <c r="BS70" s="23">
        <v>217.85517255941198</v>
      </c>
      <c r="BT70" s="23">
        <v>200.68033613184312</v>
      </c>
      <c r="BU70" s="23">
        <v>185.68910552441412</v>
      </c>
      <c r="BV70" s="23">
        <v>175.77592762189366</v>
      </c>
    </row>
    <row r="71" spans="1:74" s="68" customFormat="1" ht="18" customHeight="1" x14ac:dyDescent="0.4">
      <c r="A71" s="859"/>
      <c r="B71" s="842" t="s">
        <v>47</v>
      </c>
      <c r="C71" s="866" t="str">
        <f t="shared" si="15"/>
        <v>1.A.3.b Road transportationkt CO2-eq WEM</v>
      </c>
      <c r="D71" s="891" t="s">
        <v>377</v>
      </c>
      <c r="E71" s="11" t="s">
        <v>6</v>
      </c>
      <c r="F71" s="1013"/>
      <c r="G71" s="10" t="s">
        <v>138</v>
      </c>
      <c r="H71" s="1013"/>
      <c r="I71" s="1075"/>
      <c r="J71" s="1075"/>
      <c r="K71" s="1075"/>
      <c r="L71" s="1075"/>
      <c r="M71" s="1075"/>
      <c r="N71" s="1075"/>
      <c r="O71" s="1075"/>
      <c r="P71" s="1075"/>
      <c r="Q71" s="1075"/>
      <c r="R71" s="1075"/>
      <c r="S71" s="1075"/>
      <c r="T71" s="1075"/>
      <c r="U71" s="1075"/>
      <c r="V71" s="1075"/>
      <c r="W71" s="1075"/>
      <c r="X71" s="1289"/>
      <c r="Y71" s="1075"/>
      <c r="Z71" s="1075"/>
      <c r="AA71" s="1075"/>
      <c r="AB71" s="1075"/>
      <c r="AC71" s="1075"/>
      <c r="AD71" s="1075"/>
      <c r="AE71" s="1075"/>
      <c r="AF71" s="1075"/>
      <c r="AG71" s="1075"/>
      <c r="AH71" s="1075"/>
      <c r="AI71" s="1075"/>
      <c r="AJ71" s="1075"/>
      <c r="AK71" s="1075"/>
      <c r="AL71" s="1075"/>
      <c r="AM71" s="1075"/>
      <c r="AN71" s="1075"/>
      <c r="AO71" s="1075"/>
      <c r="AP71" s="1088"/>
      <c r="AQ71" s="1088"/>
      <c r="AR71" s="168">
        <f t="shared" si="16"/>
        <v>917.25938476071508</v>
      </c>
      <c r="AS71" s="23">
        <v>894.16858535493168</v>
      </c>
      <c r="AT71" s="23">
        <v>870.22479903083979</v>
      </c>
      <c r="AU71" s="23">
        <v>845.91238091292894</v>
      </c>
      <c r="AV71" s="23">
        <v>817.6525413115495</v>
      </c>
      <c r="AW71" s="703">
        <v>786.22470235126434</v>
      </c>
      <c r="AX71" s="23">
        <v>757.39829911249035</v>
      </c>
      <c r="AY71" s="23">
        <v>725.32892966217446</v>
      </c>
      <c r="AZ71" s="23">
        <v>690.18087660199603</v>
      </c>
      <c r="BA71" s="23">
        <v>652.75395563730922</v>
      </c>
      <c r="BB71" s="703">
        <v>612.60303096660596</v>
      </c>
      <c r="BC71" s="23">
        <v>570.4163418619097</v>
      </c>
      <c r="BD71" s="23">
        <v>527.06377528525559</v>
      </c>
      <c r="BE71" s="23">
        <v>483.44336831068188</v>
      </c>
      <c r="BF71" s="23">
        <v>440.03318556197161</v>
      </c>
      <c r="BG71" s="23">
        <v>397.26191468225403</v>
      </c>
      <c r="BH71" s="23">
        <v>357.80086294977031</v>
      </c>
      <c r="BI71" s="23">
        <v>319.59252785708031</v>
      </c>
      <c r="BJ71" s="23">
        <v>282.81482924416576</v>
      </c>
      <c r="BK71" s="23">
        <v>247.93516723089152</v>
      </c>
      <c r="BL71" s="23">
        <v>218.07988990579847</v>
      </c>
      <c r="BM71" s="23">
        <v>189.97248428195772</v>
      </c>
      <c r="BN71" s="23">
        <v>163.48770402889318</v>
      </c>
      <c r="BO71" s="23">
        <v>138.58302115112616</v>
      </c>
      <c r="BP71" s="23">
        <v>115.35138850036425</v>
      </c>
      <c r="BQ71" s="23">
        <v>93.925949690402206</v>
      </c>
      <c r="BR71" s="23">
        <v>74.175334108306487</v>
      </c>
      <c r="BS71" s="23">
        <v>56.137514907950695</v>
      </c>
      <c r="BT71" s="23">
        <v>45.240065452722774</v>
      </c>
      <c r="BU71" s="23">
        <v>37.071678126572976</v>
      </c>
      <c r="BV71" s="23">
        <v>29.970905709588795</v>
      </c>
    </row>
    <row r="72" spans="1:74" s="68" customFormat="1" ht="18" customHeight="1" x14ac:dyDescent="0.4">
      <c r="A72" s="859"/>
      <c r="B72" s="842" t="s">
        <v>48</v>
      </c>
      <c r="C72" s="866" t="str">
        <f t="shared" si="15"/>
        <v>1.A.3.a Domestic aviationkt CO2-eq WEM</v>
      </c>
      <c r="D72" s="891" t="s">
        <v>377</v>
      </c>
      <c r="E72" s="11" t="s">
        <v>7</v>
      </c>
      <c r="F72" s="1013"/>
      <c r="G72" s="11" t="s">
        <v>156</v>
      </c>
      <c r="H72" s="1013"/>
      <c r="I72" s="1075"/>
      <c r="J72" s="1075"/>
      <c r="K72" s="1075"/>
      <c r="L72" s="1075"/>
      <c r="M72" s="1075"/>
      <c r="N72" s="1075"/>
      <c r="O72" s="1075"/>
      <c r="P72" s="1075"/>
      <c r="Q72" s="1075"/>
      <c r="R72" s="1075"/>
      <c r="S72" s="1075"/>
      <c r="T72" s="1075"/>
      <c r="U72" s="1075"/>
      <c r="V72" s="1075"/>
      <c r="W72" s="1075"/>
      <c r="X72" s="1289"/>
      <c r="Y72" s="1075"/>
      <c r="Z72" s="1075"/>
      <c r="AA72" s="1075"/>
      <c r="AB72" s="1075"/>
      <c r="AC72" s="1075"/>
      <c r="AD72" s="1075"/>
      <c r="AE72" s="1075"/>
      <c r="AF72" s="1075"/>
      <c r="AG72" s="1075"/>
      <c r="AH72" s="1075"/>
      <c r="AI72" s="1075"/>
      <c r="AJ72" s="1075"/>
      <c r="AK72" s="1075"/>
      <c r="AL72" s="1075"/>
      <c r="AM72" s="1075"/>
      <c r="AN72" s="1075"/>
      <c r="AO72" s="1075"/>
      <c r="AP72" s="1088"/>
      <c r="AQ72" s="1088"/>
      <c r="AR72" s="168">
        <f t="shared" si="16"/>
        <v>19.219314461733333</v>
      </c>
      <c r="AS72" s="23">
        <v>20.408994269606598</v>
      </c>
      <c r="AT72" s="23">
        <v>20.115189069978012</v>
      </c>
      <c r="AU72" s="23">
        <v>20.245952838938358</v>
      </c>
      <c r="AV72" s="23">
        <v>20.322987646441266</v>
      </c>
      <c r="AW72" s="703">
        <v>19.546070974159964</v>
      </c>
      <c r="AX72" s="23">
        <v>19.492524735367006</v>
      </c>
      <c r="AY72" s="23">
        <v>19.339687855352306</v>
      </c>
      <c r="AZ72" s="23">
        <v>19.04643660879437</v>
      </c>
      <c r="BA72" s="23">
        <v>18.588888225602378</v>
      </c>
      <c r="BB72" s="703">
        <v>15.321753820269679</v>
      </c>
      <c r="BC72" s="23">
        <v>14.506979983240399</v>
      </c>
      <c r="BD72" s="23">
        <v>13.433798275438306</v>
      </c>
      <c r="BE72" s="23">
        <v>12.107706315632512</v>
      </c>
      <c r="BF72" s="23">
        <v>10.563196986632041</v>
      </c>
      <c r="BG72" s="23">
        <v>7.3893417101572272</v>
      </c>
      <c r="BH72" s="23">
        <v>5.9973385110226207</v>
      </c>
      <c r="BI72" s="23">
        <v>4.6993120436278568</v>
      </c>
      <c r="BJ72" s="23">
        <v>3.5623810457769332</v>
      </c>
      <c r="BK72" s="23">
        <v>2.6294774115630029</v>
      </c>
      <c r="BL72" s="23">
        <v>1.6788297332651498</v>
      </c>
      <c r="BM72" s="23">
        <v>1.1934841445925222</v>
      </c>
      <c r="BN72" s="23">
        <v>0.83531919543209443</v>
      </c>
      <c r="BO72" s="23">
        <v>0.58119161112436202</v>
      </c>
      <c r="BP72" s="23">
        <v>0.39750949060131519</v>
      </c>
      <c r="BQ72" s="23">
        <v>0.14928614698823942</v>
      </c>
      <c r="BR72" s="23">
        <v>9.9607922946421443E-2</v>
      </c>
      <c r="BS72" s="23">
        <v>7.1395230087933498E-2</v>
      </c>
      <c r="BT72" s="23">
        <v>4.4700410714930826E-2</v>
      </c>
      <c r="BU72" s="23">
        <v>3.3813946522198261E-2</v>
      </c>
      <c r="BV72" s="23">
        <v>1.9790826409796573E-2</v>
      </c>
    </row>
    <row r="73" spans="1:74" s="68" customFormat="1" ht="18" customHeight="1" x14ac:dyDescent="0.4">
      <c r="A73" s="859"/>
      <c r="B73" s="842" t="s">
        <v>49</v>
      </c>
      <c r="C73" s="866" t="str">
        <f t="shared" si="15"/>
        <v>1.A.3.dDomestic navigationkt CO2-eq WEM</v>
      </c>
      <c r="D73" s="891" t="s">
        <v>377</v>
      </c>
      <c r="E73" s="11" t="s">
        <v>8</v>
      </c>
      <c r="F73" s="1013"/>
      <c r="G73" s="11" t="s">
        <v>157</v>
      </c>
      <c r="H73" s="1013"/>
      <c r="I73" s="1075"/>
      <c r="J73" s="1075"/>
      <c r="K73" s="1075"/>
      <c r="L73" s="1075"/>
      <c r="M73" s="1075"/>
      <c r="N73" s="1075"/>
      <c r="O73" s="1075"/>
      <c r="P73" s="1075"/>
      <c r="Q73" s="1075"/>
      <c r="R73" s="1075"/>
      <c r="S73" s="1075"/>
      <c r="T73" s="1075"/>
      <c r="U73" s="1075"/>
      <c r="V73" s="1075"/>
      <c r="W73" s="1075"/>
      <c r="X73" s="1289"/>
      <c r="Y73" s="1075"/>
      <c r="Z73" s="1075"/>
      <c r="AA73" s="1075"/>
      <c r="AB73" s="1075"/>
      <c r="AC73" s="1075"/>
      <c r="AD73" s="1075"/>
      <c r="AE73" s="1075"/>
      <c r="AF73" s="1075"/>
      <c r="AG73" s="1075"/>
      <c r="AH73" s="1075"/>
      <c r="AI73" s="1075"/>
      <c r="AJ73" s="1075"/>
      <c r="AK73" s="1075"/>
      <c r="AL73" s="1075"/>
      <c r="AM73" s="1075"/>
      <c r="AN73" s="1075"/>
      <c r="AO73" s="1075"/>
      <c r="AP73" s="1088"/>
      <c r="AQ73" s="1088"/>
      <c r="AR73" s="168">
        <f t="shared" si="16"/>
        <v>22.342012716758749</v>
      </c>
      <c r="AS73" s="23">
        <v>14.687112089911137</v>
      </c>
      <c r="AT73" s="23">
        <v>14.684001731569351</v>
      </c>
      <c r="AU73" s="23">
        <v>14.680891373227563</v>
      </c>
      <c r="AV73" s="23">
        <v>14.674670656543993</v>
      </c>
      <c r="AW73" s="703">
        <v>14.024845734777953</v>
      </c>
      <c r="AX73" s="23">
        <v>11.920937926784292</v>
      </c>
      <c r="AY73" s="23">
        <v>7.3961835718055235</v>
      </c>
      <c r="AZ73" s="23">
        <v>7.2998705584869485</v>
      </c>
      <c r="BA73" s="23">
        <v>7.2251074959290795</v>
      </c>
      <c r="BB73" s="703">
        <v>2.7398669394196</v>
      </c>
      <c r="BC73" s="23">
        <v>2.6588778466452392</v>
      </c>
      <c r="BD73" s="23">
        <v>2.5747886637787758</v>
      </c>
      <c r="BE73" s="23">
        <v>2.4844758326243714</v>
      </c>
      <c r="BF73" s="23">
        <v>2.3910621784767714</v>
      </c>
      <c r="BG73" s="23">
        <v>2.2665293591287119</v>
      </c>
      <c r="BH73" s="23">
        <v>2.1668610916220072</v>
      </c>
      <c r="BI73" s="23">
        <v>2.0609683971199515</v>
      </c>
      <c r="BJ73" s="23">
        <v>1.955083657648504</v>
      </c>
      <c r="BK73" s="23">
        <v>1.8460729780526666</v>
      </c>
      <c r="BL73" s="23">
        <v>1.7339482298032629</v>
      </c>
      <c r="BM73" s="23">
        <v>1.6218308181991714</v>
      </c>
      <c r="BN73" s="23">
        <v>1.5034777265142012</v>
      </c>
      <c r="BO73" s="23">
        <v>1.3882419175594647</v>
      </c>
      <c r="BP73" s="23">
        <v>1.2698811991224999</v>
      </c>
      <c r="BQ73" s="23">
        <v>1.1515167703737532</v>
      </c>
      <c r="BR73" s="23">
        <v>1.033238666685576</v>
      </c>
      <c r="BS73" s="23">
        <v>0.91493780947222725</v>
      </c>
      <c r="BT73" s="23">
        <v>0.79664443319409395</v>
      </c>
      <c r="BU73" s="23">
        <v>0.67833881441395949</v>
      </c>
      <c r="BV73" s="23">
        <v>0.56003088699538317</v>
      </c>
    </row>
    <row r="74" spans="1:74" s="68" customFormat="1" ht="18" customHeight="1" x14ac:dyDescent="0.4">
      <c r="A74" s="859"/>
      <c r="B74" s="842" t="s">
        <v>81</v>
      </c>
      <c r="C74" s="866" t="str">
        <f t="shared" si="15"/>
        <v>Mobile Machinery WEM</v>
      </c>
      <c r="D74" s="891" t="s">
        <v>377</v>
      </c>
      <c r="E74" s="11" t="s">
        <v>9</v>
      </c>
      <c r="F74" s="1013"/>
      <c r="G74" s="11" t="s">
        <v>122</v>
      </c>
      <c r="H74" s="1013"/>
      <c r="I74" s="1075"/>
      <c r="J74" s="1075"/>
      <c r="K74" s="1075"/>
      <c r="L74" s="1075"/>
      <c r="M74" s="1075"/>
      <c r="N74" s="1075"/>
      <c r="O74" s="1075"/>
      <c r="P74" s="1075"/>
      <c r="Q74" s="1075"/>
      <c r="R74" s="1075"/>
      <c r="S74" s="1075"/>
      <c r="T74" s="1075"/>
      <c r="U74" s="1075"/>
      <c r="V74" s="1075"/>
      <c r="W74" s="1075"/>
      <c r="X74" s="1289"/>
      <c r="Y74" s="1075"/>
      <c r="Z74" s="1075"/>
      <c r="AA74" s="1075"/>
      <c r="AB74" s="1075"/>
      <c r="AC74" s="1075"/>
      <c r="AD74" s="1075"/>
      <c r="AE74" s="1075"/>
      <c r="AF74" s="1075"/>
      <c r="AG74" s="1075"/>
      <c r="AH74" s="1075"/>
      <c r="AI74" s="1075"/>
      <c r="AJ74" s="1075"/>
      <c r="AK74" s="1075"/>
      <c r="AL74" s="1075"/>
      <c r="AM74" s="1075"/>
      <c r="AN74" s="1075"/>
      <c r="AO74" s="1075"/>
      <c r="AP74" s="1088"/>
      <c r="AQ74" s="1088"/>
      <c r="AR74" s="168">
        <f t="shared" si="16"/>
        <v>77.003200912657135</v>
      </c>
      <c r="AS74" s="11">
        <f t="shared" ref="AS74:BA74" si="17">SUM(AS75:AS77)</f>
        <v>81.702333842233713</v>
      </c>
      <c r="AT74" s="11">
        <f t="shared" si="17"/>
        <v>84.306045442719949</v>
      </c>
      <c r="AU74" s="11">
        <f t="shared" si="17"/>
        <v>84.646265105608947</v>
      </c>
      <c r="AV74" s="11">
        <f t="shared" si="17"/>
        <v>84.391526256694931</v>
      </c>
      <c r="AW74" s="704">
        <f t="shared" si="17"/>
        <v>84.624152775755988</v>
      </c>
      <c r="AX74" s="11">
        <f t="shared" si="17"/>
        <v>85.088104941370801</v>
      </c>
      <c r="AY74" s="11">
        <f t="shared" si="17"/>
        <v>85.281255870015386</v>
      </c>
      <c r="AZ74" s="11">
        <f t="shared" si="17"/>
        <v>85.404119806920264</v>
      </c>
      <c r="BA74" s="11">
        <f t="shared" si="17"/>
        <v>85.43222250992261</v>
      </c>
      <c r="BB74" s="704">
        <f t="shared" ref="BB74:BO74" si="18">SUM(BB75:BB77)</f>
        <v>85.275751366965295</v>
      </c>
      <c r="BC74" s="11">
        <f t="shared" si="18"/>
        <v>85.02538339503225</v>
      </c>
      <c r="BD74" s="11">
        <f t="shared" si="18"/>
        <v>84.530231301975178</v>
      </c>
      <c r="BE74" s="11">
        <f t="shared" si="18"/>
        <v>83.835944898316228</v>
      </c>
      <c r="BF74" s="11">
        <f t="shared" si="18"/>
        <v>82.948604630454327</v>
      </c>
      <c r="BG74" s="11">
        <f t="shared" si="18"/>
        <v>81.724112387839853</v>
      </c>
      <c r="BH74" s="11">
        <f t="shared" si="18"/>
        <v>80.22374253159478</v>
      </c>
      <c r="BI74" s="11">
        <f t="shared" si="18"/>
        <v>78.313475676339948</v>
      </c>
      <c r="BJ74" s="11">
        <f t="shared" si="18"/>
        <v>76.057402339672649</v>
      </c>
      <c r="BK74" s="11">
        <f t="shared" si="18"/>
        <v>73.449950270563193</v>
      </c>
      <c r="BL74" s="11">
        <f t="shared" si="18"/>
        <v>70.403514708034464</v>
      </c>
      <c r="BM74" s="11">
        <f t="shared" si="18"/>
        <v>66.97314873915073</v>
      </c>
      <c r="BN74" s="11">
        <f t="shared" si="18"/>
        <v>63.147917086299728</v>
      </c>
      <c r="BO74" s="11">
        <f t="shared" si="18"/>
        <v>59.048923592147815</v>
      </c>
      <c r="BP74" s="11">
        <f t="shared" ref="BP74:BU74" si="19">SUM(BP75:BP77)</f>
        <v>54.721254548823872</v>
      </c>
      <c r="BQ74" s="11">
        <f t="shared" si="19"/>
        <v>50.231045372831574</v>
      </c>
      <c r="BR74" s="11">
        <f t="shared" si="19"/>
        <v>40.653889798626899</v>
      </c>
      <c r="BS74" s="11">
        <f t="shared" si="19"/>
        <v>36.475635520827723</v>
      </c>
      <c r="BT74" s="11">
        <f t="shared" si="19"/>
        <v>32.489126554652735</v>
      </c>
      <c r="BU74" s="11">
        <f t="shared" si="19"/>
        <v>28.763222747455618</v>
      </c>
      <c r="BV74" s="11">
        <f t="shared" ref="BV74" si="20">SUM(BV75:BV77)</f>
        <v>25.341442398861652</v>
      </c>
    </row>
    <row r="75" spans="1:74" s="85" customFormat="1" ht="18" customHeight="1" x14ac:dyDescent="0.4">
      <c r="A75" s="860"/>
      <c r="B75" s="1083" t="s">
        <v>50</v>
      </c>
      <c r="C75" s="866" t="str">
        <f t="shared" si="15"/>
        <v>1.A.2.g.vii Off road vehicles and other machinerykt CO2-eq WEM</v>
      </c>
      <c r="D75" s="891" t="s">
        <v>377</v>
      </c>
      <c r="E75" s="31" t="s">
        <v>102</v>
      </c>
      <c r="F75" s="1014"/>
      <c r="G75" s="31" t="s">
        <v>194</v>
      </c>
      <c r="H75" s="1014"/>
      <c r="I75" s="1089"/>
      <c r="J75" s="1089"/>
      <c r="K75" s="1089"/>
      <c r="L75" s="1089"/>
      <c r="M75" s="1089"/>
      <c r="N75" s="1089"/>
      <c r="O75" s="1089"/>
      <c r="P75" s="1089"/>
      <c r="Q75" s="1089"/>
      <c r="R75" s="1089"/>
      <c r="S75" s="1089"/>
      <c r="T75" s="1089"/>
      <c r="U75" s="1089"/>
      <c r="V75" s="1089"/>
      <c r="W75" s="1089"/>
      <c r="X75" s="1293"/>
      <c r="Y75" s="1089"/>
      <c r="Z75" s="1089"/>
      <c r="AA75" s="1089"/>
      <c r="AB75" s="1089"/>
      <c r="AC75" s="1089"/>
      <c r="AD75" s="1089"/>
      <c r="AE75" s="1089"/>
      <c r="AF75" s="1089"/>
      <c r="AG75" s="1089"/>
      <c r="AH75" s="1089"/>
      <c r="AI75" s="1089"/>
      <c r="AJ75" s="1089"/>
      <c r="AK75" s="1089"/>
      <c r="AL75" s="1089"/>
      <c r="AM75" s="1089"/>
      <c r="AN75" s="1089"/>
      <c r="AO75" s="1089"/>
      <c r="AP75" s="1090"/>
      <c r="AQ75" s="1090"/>
      <c r="AR75" s="168">
        <f t="shared" si="16"/>
        <v>54.166925310289855</v>
      </c>
      <c r="AS75" s="1091">
        <v>53.852478056963498</v>
      </c>
      <c r="AT75" s="1091">
        <v>56.093907847949303</v>
      </c>
      <c r="AU75" s="1091">
        <v>56.006139850203617</v>
      </c>
      <c r="AV75" s="1091">
        <v>55.364910269399367</v>
      </c>
      <c r="AW75" s="1092">
        <v>55.220862078932136</v>
      </c>
      <c r="AX75" s="1091">
        <v>55.229306021227671</v>
      </c>
      <c r="AY75" s="1091">
        <v>55.004837360019607</v>
      </c>
      <c r="AZ75" s="1091">
        <v>54.758850622216933</v>
      </c>
      <c r="BA75" s="1091">
        <v>54.448312670589303</v>
      </c>
      <c r="BB75" s="1092">
        <v>54.011294856356606</v>
      </c>
      <c r="BC75" s="1091">
        <v>53.554765876253448</v>
      </c>
      <c r="BD75" s="1091">
        <v>52.931142687582977</v>
      </c>
      <c r="BE75" s="1091">
        <v>52.199760489191384</v>
      </c>
      <c r="BF75" s="1091">
        <v>51.380406128196164</v>
      </c>
      <c r="BG75" s="1091">
        <v>50.352870112432008</v>
      </c>
      <c r="BH75" s="1091">
        <v>49.191801925024642</v>
      </c>
      <c r="BI75" s="1091">
        <v>47.770325943681996</v>
      </c>
      <c r="BJ75" s="1091">
        <v>46.171693448294448</v>
      </c>
      <c r="BK75" s="1091">
        <v>44.39735300653242</v>
      </c>
      <c r="BL75" s="1091">
        <v>42.366152159880919</v>
      </c>
      <c r="BM75" s="1091">
        <v>40.128361274926007</v>
      </c>
      <c r="BN75" s="1091">
        <v>37.664032490551037</v>
      </c>
      <c r="BO75" s="1091">
        <v>35.088548976285502</v>
      </c>
      <c r="BP75" s="1091">
        <v>32.397453847436871</v>
      </c>
      <c r="BQ75" s="1091">
        <v>29.622332354862529</v>
      </c>
      <c r="BR75" s="1091">
        <v>26.885098212235949</v>
      </c>
      <c r="BS75" s="1091">
        <v>24.206251829488068</v>
      </c>
      <c r="BT75" s="1091">
        <v>21.638975185341174</v>
      </c>
      <c r="BU75" s="1091">
        <v>19.229829642246877</v>
      </c>
      <c r="BV75" s="1091">
        <v>17.010217485311944</v>
      </c>
    </row>
    <row r="76" spans="1:74" s="85" customFormat="1" ht="18" customHeight="1" x14ac:dyDescent="0.4">
      <c r="A76" s="860"/>
      <c r="B76" s="1083" t="s">
        <v>75</v>
      </c>
      <c r="C76" s="866" t="str">
        <f t="shared" si="15"/>
        <v>1.A.4.c.ii Agriculture/Forestry/Fishing - Off-road vehicles and other machinerykt CO2-eq WEM</v>
      </c>
      <c r="D76" s="891" t="s">
        <v>377</v>
      </c>
      <c r="E76" s="31" t="s">
        <v>103</v>
      </c>
      <c r="F76" s="1014"/>
      <c r="G76" s="31" t="s">
        <v>195</v>
      </c>
      <c r="H76" s="1014"/>
      <c r="I76" s="1089"/>
      <c r="J76" s="1089"/>
      <c r="K76" s="1089"/>
      <c r="L76" s="1089"/>
      <c r="M76" s="1089"/>
      <c r="N76" s="1089"/>
      <c r="O76" s="1089"/>
      <c r="P76" s="1089"/>
      <c r="Q76" s="1089"/>
      <c r="R76" s="1089"/>
      <c r="S76" s="1089"/>
      <c r="T76" s="1089"/>
      <c r="U76" s="1089"/>
      <c r="V76" s="1089"/>
      <c r="W76" s="1089"/>
      <c r="X76" s="1293"/>
      <c r="Y76" s="1089"/>
      <c r="Z76" s="1089"/>
      <c r="AA76" s="1089"/>
      <c r="AB76" s="1089"/>
      <c r="AC76" s="1089"/>
      <c r="AD76" s="1089"/>
      <c r="AE76" s="1089"/>
      <c r="AF76" s="1089"/>
      <c r="AG76" s="1089"/>
      <c r="AH76" s="1089"/>
      <c r="AI76" s="1089"/>
      <c r="AJ76" s="1089"/>
      <c r="AK76" s="1089"/>
      <c r="AL76" s="1089"/>
      <c r="AM76" s="1089"/>
      <c r="AN76" s="1089"/>
      <c r="AO76" s="1089"/>
      <c r="AP76" s="1090"/>
      <c r="AQ76" s="1090"/>
      <c r="AR76" s="168">
        <f t="shared" si="16"/>
        <v>22.787585908098663</v>
      </c>
      <c r="AS76" s="1091">
        <v>27.849855785270211</v>
      </c>
      <c r="AT76" s="1091">
        <v>28.212137594770645</v>
      </c>
      <c r="AU76" s="1091">
        <v>28.64012525540533</v>
      </c>
      <c r="AV76" s="1091">
        <v>29.026615987295571</v>
      </c>
      <c r="AW76" s="1092">
        <v>29.403290696823856</v>
      </c>
      <c r="AX76" s="1091">
        <v>29.858798920143123</v>
      </c>
      <c r="AY76" s="1091">
        <v>30.276418509995779</v>
      </c>
      <c r="AZ76" s="1091">
        <v>30.645269184703334</v>
      </c>
      <c r="BA76" s="1091">
        <v>30.983909839333304</v>
      </c>
      <c r="BB76" s="1092">
        <v>31.264456510608696</v>
      </c>
      <c r="BC76" s="1091">
        <v>31.470617518778802</v>
      </c>
      <c r="BD76" s="1091">
        <v>31.599088614392205</v>
      </c>
      <c r="BE76" s="1091">
        <v>31.636184409124848</v>
      </c>
      <c r="BF76" s="1091">
        <v>31.56819850225817</v>
      </c>
      <c r="BG76" s="1091">
        <v>31.371242275407848</v>
      </c>
      <c r="BH76" s="1091">
        <v>31.031940606570135</v>
      </c>
      <c r="BI76" s="1091">
        <v>30.543149732657959</v>
      </c>
      <c r="BJ76" s="1091">
        <v>29.885708891378204</v>
      </c>
      <c r="BK76" s="1091">
        <v>29.052597264030769</v>
      </c>
      <c r="BL76" s="1091">
        <v>28.037362548153549</v>
      </c>
      <c r="BM76" s="1091">
        <v>26.844787464224716</v>
      </c>
      <c r="BN76" s="1091">
        <v>25.483884595748687</v>
      </c>
      <c r="BO76" s="1091">
        <v>23.96037461586231</v>
      </c>
      <c r="BP76" s="1091">
        <v>22.323800701387</v>
      </c>
      <c r="BQ76" s="1091">
        <v>20.608713017969045</v>
      </c>
      <c r="BR76" s="1091">
        <v>13.768791586390948</v>
      </c>
      <c r="BS76" s="1091">
        <v>12.269383691339657</v>
      </c>
      <c r="BT76" s="1091">
        <v>10.850151369311561</v>
      </c>
      <c r="BU76" s="1091">
        <v>9.5333931052087415</v>
      </c>
      <c r="BV76" s="1091">
        <v>8.3312249135497076</v>
      </c>
    </row>
    <row r="77" spans="1:74" s="85" customFormat="1" ht="18" customHeight="1" x14ac:dyDescent="0.4">
      <c r="A77" s="860"/>
      <c r="B77" s="1083" t="s">
        <v>74</v>
      </c>
      <c r="C77" s="866" t="str">
        <f t="shared" si="15"/>
        <v>1.A.3.e.ii Other (please specify) kt CO2-eq WEM</v>
      </c>
      <c r="D77" s="891" t="s">
        <v>377</v>
      </c>
      <c r="E77" s="31" t="s">
        <v>104</v>
      </c>
      <c r="F77" s="1014"/>
      <c r="G77" s="31" t="s">
        <v>196</v>
      </c>
      <c r="H77" s="1014"/>
      <c r="I77" s="1089"/>
      <c r="J77" s="1089"/>
      <c r="K77" s="1089"/>
      <c r="L77" s="1089"/>
      <c r="M77" s="1089"/>
      <c r="N77" s="1089"/>
      <c r="O77" s="1089"/>
      <c r="P77" s="1089"/>
      <c r="Q77" s="1089"/>
      <c r="R77" s="1089"/>
      <c r="S77" s="1089"/>
      <c r="T77" s="1089"/>
      <c r="U77" s="1089"/>
      <c r="V77" s="1089"/>
      <c r="W77" s="1089"/>
      <c r="X77" s="1293"/>
      <c r="Y77" s="1089"/>
      <c r="Z77" s="1089"/>
      <c r="AA77" s="1089"/>
      <c r="AB77" s="1089"/>
      <c r="AC77" s="1089"/>
      <c r="AD77" s="1089"/>
      <c r="AE77" s="1089"/>
      <c r="AF77" s="1089"/>
      <c r="AG77" s="1089"/>
      <c r="AH77" s="1089"/>
      <c r="AI77" s="1089"/>
      <c r="AJ77" s="1089"/>
      <c r="AK77" s="1089"/>
      <c r="AL77" s="1089"/>
      <c r="AM77" s="1089"/>
      <c r="AN77" s="1089"/>
      <c r="AO77" s="1089"/>
      <c r="AP77" s="1090"/>
      <c r="AQ77" s="1090"/>
      <c r="AR77" s="168">
        <f t="shared" si="16"/>
        <v>4.8689694268622775E-2</v>
      </c>
      <c r="AS77" s="1091">
        <v>0</v>
      </c>
      <c r="AT77" s="1091">
        <v>0</v>
      </c>
      <c r="AU77" s="1091">
        <v>0</v>
      </c>
      <c r="AV77" s="1091">
        <v>0</v>
      </c>
      <c r="AW77" s="1092">
        <v>0</v>
      </c>
      <c r="AX77" s="1091">
        <v>0</v>
      </c>
      <c r="AY77" s="1091">
        <v>0</v>
      </c>
      <c r="AZ77" s="1091">
        <v>0</v>
      </c>
      <c r="BA77" s="1091">
        <v>0</v>
      </c>
      <c r="BB77" s="1092">
        <v>0</v>
      </c>
      <c r="BC77" s="1091">
        <v>0</v>
      </c>
      <c r="BD77" s="1091">
        <v>0</v>
      </c>
      <c r="BE77" s="1091">
        <v>0</v>
      </c>
      <c r="BF77" s="1091">
        <v>0</v>
      </c>
      <c r="BG77" s="1091">
        <v>0</v>
      </c>
      <c r="BH77" s="1091">
        <v>0</v>
      </c>
      <c r="BI77" s="1091">
        <v>0</v>
      </c>
      <c r="BJ77" s="1091">
        <v>0</v>
      </c>
      <c r="BK77" s="1091">
        <v>0</v>
      </c>
      <c r="BL77" s="1091">
        <v>0</v>
      </c>
      <c r="BM77" s="1091">
        <v>0</v>
      </c>
      <c r="BN77" s="1091">
        <v>0</v>
      </c>
      <c r="BO77" s="1091">
        <v>0</v>
      </c>
      <c r="BP77" s="1091">
        <v>0</v>
      </c>
      <c r="BQ77" s="1091">
        <v>0</v>
      </c>
      <c r="BR77" s="1091">
        <v>0</v>
      </c>
      <c r="BS77" s="1091">
        <v>0</v>
      </c>
      <c r="BT77" s="1091">
        <v>0</v>
      </c>
      <c r="BU77" s="1091">
        <v>0</v>
      </c>
      <c r="BV77" s="1091">
        <v>0</v>
      </c>
    </row>
    <row r="78" spans="1:74" s="68" customFormat="1" ht="18" customHeight="1" x14ac:dyDescent="0.4">
      <c r="A78" s="859"/>
      <c r="B78" s="842" t="s">
        <v>88</v>
      </c>
      <c r="C78" s="866" t="str">
        <f t="shared" si="15"/>
        <v>Fuel combustion in stationary industry kt CO2e WEM</v>
      </c>
      <c r="D78" s="891" t="s">
        <v>377</v>
      </c>
      <c r="E78" s="11" t="s">
        <v>185</v>
      </c>
      <c r="F78" s="64"/>
      <c r="G78" s="11" t="s">
        <v>158</v>
      </c>
      <c r="H78" s="64"/>
      <c r="I78" s="1075"/>
      <c r="J78" s="1075"/>
      <c r="K78" s="1075"/>
      <c r="L78" s="1075"/>
      <c r="M78" s="1075"/>
      <c r="N78" s="1075"/>
      <c r="O78" s="1075"/>
      <c r="P78" s="1075"/>
      <c r="Q78" s="1075"/>
      <c r="R78" s="1075"/>
      <c r="S78" s="1075"/>
      <c r="T78" s="1075"/>
      <c r="U78" s="1075"/>
      <c r="V78" s="1075"/>
      <c r="W78" s="1075"/>
      <c r="X78" s="1289"/>
      <c r="Y78" s="1075"/>
      <c r="Z78" s="1075"/>
      <c r="AA78" s="1075"/>
      <c r="AB78" s="1075"/>
      <c r="AC78" s="1075"/>
      <c r="AD78" s="1075"/>
      <c r="AE78" s="1075"/>
      <c r="AF78" s="1075"/>
      <c r="AG78" s="1075"/>
      <c r="AH78" s="1075"/>
      <c r="AI78" s="1075"/>
      <c r="AJ78" s="1075"/>
      <c r="AK78" s="1075"/>
      <c r="AL78" s="1075"/>
      <c r="AM78" s="1075"/>
      <c r="AN78" s="1075"/>
      <c r="AO78" s="1075"/>
      <c r="AP78" s="1088"/>
      <c r="AQ78" s="1088"/>
      <c r="AR78" s="168">
        <f t="shared" si="16"/>
        <v>57.67271537013076</v>
      </c>
      <c r="AS78" s="11">
        <f t="shared" ref="AS78:BA78" si="21">AS79-AS80</f>
        <v>57.142826084094501</v>
      </c>
      <c r="AT78" s="11">
        <f t="shared" si="21"/>
        <v>59.104468892032934</v>
      </c>
      <c r="AU78" s="11">
        <f t="shared" si="21"/>
        <v>59.7094766560813</v>
      </c>
      <c r="AV78" s="11">
        <f t="shared" si="21"/>
        <v>55.118531445679103</v>
      </c>
      <c r="AW78" s="704">
        <f t="shared" si="21"/>
        <v>49.84110765238335</v>
      </c>
      <c r="AX78" s="11">
        <f t="shared" si="21"/>
        <v>48.009640895295632</v>
      </c>
      <c r="AY78" s="11">
        <f t="shared" si="21"/>
        <v>46.286414649361106</v>
      </c>
      <c r="AZ78" s="11">
        <f t="shared" si="21"/>
        <v>44.797866562678486</v>
      </c>
      <c r="BA78" s="11">
        <f t="shared" si="21"/>
        <v>43.478317068706843</v>
      </c>
      <c r="BB78" s="704">
        <f t="shared" ref="BB78:BO78" si="22">BB79-BB80</f>
        <v>42.231097625048527</v>
      </c>
      <c r="BC78" s="11">
        <f t="shared" si="22"/>
        <v>41.021951189205346</v>
      </c>
      <c r="BD78" s="11">
        <f t="shared" si="22"/>
        <v>39.819069489255583</v>
      </c>
      <c r="BE78" s="11">
        <f t="shared" si="22"/>
        <v>38.606768634341584</v>
      </c>
      <c r="BF78" s="11">
        <f t="shared" si="22"/>
        <v>37.38986564413387</v>
      </c>
      <c r="BG78" s="11">
        <f t="shared" si="22"/>
        <v>36.160292794958615</v>
      </c>
      <c r="BH78" s="11">
        <f t="shared" si="22"/>
        <v>34.603784273433597</v>
      </c>
      <c r="BI78" s="11">
        <f t="shared" si="22"/>
        <v>33.029760755758616</v>
      </c>
      <c r="BJ78" s="11">
        <f t="shared" si="22"/>
        <v>31.442981730037644</v>
      </c>
      <c r="BK78" s="11">
        <f t="shared" si="22"/>
        <v>29.845890646319511</v>
      </c>
      <c r="BL78" s="11">
        <f t="shared" si="22"/>
        <v>28.238923136386525</v>
      </c>
      <c r="BM78" s="11">
        <f t="shared" si="22"/>
        <v>26.619187706870406</v>
      </c>
      <c r="BN78" s="11">
        <f t="shared" si="22"/>
        <v>24.981218145625014</v>
      </c>
      <c r="BO78" s="11">
        <f t="shared" si="22"/>
        <v>23.330816917112827</v>
      </c>
      <c r="BP78" s="11">
        <f t="shared" ref="BP78:BU78" si="23">BP79-BP80</f>
        <v>21.667567698508719</v>
      </c>
      <c r="BQ78" s="11">
        <f t="shared" si="23"/>
        <v>19.986610155945613</v>
      </c>
      <c r="BR78" s="11">
        <f t="shared" si="23"/>
        <v>18.293342260124309</v>
      </c>
      <c r="BS78" s="11">
        <f t="shared" si="23"/>
        <v>16.58752113411208</v>
      </c>
      <c r="BT78" s="11">
        <f t="shared" si="23"/>
        <v>14.871842727621122</v>
      </c>
      <c r="BU78" s="11">
        <f t="shared" si="23"/>
        <v>13.137176471922828</v>
      </c>
      <c r="BV78" s="11">
        <f t="shared" ref="BV78" si="24">BV79-BV80</f>
        <v>11.392168394671057</v>
      </c>
    </row>
    <row r="79" spans="1:74" s="85" customFormat="1" ht="18" hidden="1" customHeight="1" x14ac:dyDescent="0.4">
      <c r="A79" s="860"/>
      <c r="B79" s="1083" t="s">
        <v>211</v>
      </c>
      <c r="C79" s="866" t="str">
        <f t="shared" si="15"/>
        <v>1.A.2 Manufacturing Industries and combustionkt CO2-eq WEM</v>
      </c>
      <c r="D79" s="891" t="s">
        <v>377</v>
      </c>
      <c r="E79" s="33"/>
      <c r="F79" s="1015"/>
      <c r="G79" s="32"/>
      <c r="H79" s="1015"/>
      <c r="I79" s="1084"/>
      <c r="J79" s="1084"/>
      <c r="K79" s="1084"/>
      <c r="L79" s="1084"/>
      <c r="M79" s="1084"/>
      <c r="N79" s="1084"/>
      <c r="O79" s="1084"/>
      <c r="P79" s="1084"/>
      <c r="Q79" s="1084"/>
      <c r="R79" s="1084"/>
      <c r="S79" s="1084"/>
      <c r="T79" s="1084"/>
      <c r="U79" s="1084"/>
      <c r="V79" s="1084"/>
      <c r="W79" s="1084"/>
      <c r="X79" s="1292"/>
      <c r="Y79" s="1084"/>
      <c r="Z79" s="1084"/>
      <c r="AA79" s="1084"/>
      <c r="AB79" s="1084"/>
      <c r="AC79" s="1084"/>
      <c r="AD79" s="1084"/>
      <c r="AE79" s="1084"/>
      <c r="AF79" s="1084"/>
      <c r="AG79" s="1084"/>
      <c r="AH79" s="1084"/>
      <c r="AI79" s="1084"/>
      <c r="AJ79" s="1084"/>
      <c r="AK79" s="1084"/>
      <c r="AL79" s="1084"/>
      <c r="AM79" s="1084"/>
      <c r="AN79" s="1084"/>
      <c r="AO79" s="1084"/>
      <c r="AP79" s="1093"/>
      <c r="AQ79" s="1093"/>
      <c r="AR79" s="168">
        <f t="shared" si="16"/>
        <v>111.83964068042062</v>
      </c>
      <c r="AS79" s="1085">
        <v>110.995304141058</v>
      </c>
      <c r="AT79" s="1085">
        <v>115.19837673998224</v>
      </c>
      <c r="AU79" s="1085">
        <v>115.71561650628492</v>
      </c>
      <c r="AV79" s="1085">
        <v>110.48344171507847</v>
      </c>
      <c r="AW79" s="1087">
        <v>105.06196973131549</v>
      </c>
      <c r="AX79" s="1085">
        <v>103.2389469165233</v>
      </c>
      <c r="AY79" s="1085">
        <v>101.29125200938071</v>
      </c>
      <c r="AZ79" s="1085">
        <v>99.556717184895419</v>
      </c>
      <c r="BA79" s="1085">
        <v>97.926629739296146</v>
      </c>
      <c r="BB79" s="1087">
        <v>96.242392481405133</v>
      </c>
      <c r="BC79" s="1085">
        <v>94.576717065458794</v>
      </c>
      <c r="BD79" s="1085">
        <v>92.750212176838559</v>
      </c>
      <c r="BE79" s="1085">
        <v>90.806529123532968</v>
      </c>
      <c r="BF79" s="1085">
        <v>88.770271772330034</v>
      </c>
      <c r="BG79" s="1085">
        <v>86.513162907390623</v>
      </c>
      <c r="BH79" s="1085">
        <v>83.795586198458238</v>
      </c>
      <c r="BI79" s="1085">
        <v>80.800086699440612</v>
      </c>
      <c r="BJ79" s="1085">
        <v>77.614675178332092</v>
      </c>
      <c r="BK79" s="1085">
        <v>74.24324365285193</v>
      </c>
      <c r="BL79" s="1085">
        <v>70.605075296267444</v>
      </c>
      <c r="BM79" s="1085">
        <v>66.747548981796413</v>
      </c>
      <c r="BN79" s="1085">
        <v>62.645250636176051</v>
      </c>
      <c r="BO79" s="1085">
        <v>58.419365893398329</v>
      </c>
      <c r="BP79" s="1085">
        <v>54.065021545945591</v>
      </c>
      <c r="BQ79" s="1085">
        <v>49.608942510808141</v>
      </c>
      <c r="BR79" s="1085">
        <v>45.178440472360258</v>
      </c>
      <c r="BS79" s="1085">
        <v>40.793772963600148</v>
      </c>
      <c r="BT79" s="1085">
        <v>36.510817912962295</v>
      </c>
      <c r="BU79" s="1085">
        <v>32.367006114169705</v>
      </c>
      <c r="BV79" s="1085">
        <v>28.402385879983001</v>
      </c>
    </row>
    <row r="80" spans="1:74" s="85" customFormat="1" ht="18" hidden="1" customHeight="1" x14ac:dyDescent="0.4">
      <c r="A80" s="860"/>
      <c r="B80" s="1083" t="s">
        <v>50</v>
      </c>
      <c r="C80" s="866" t="str">
        <f t="shared" si="15"/>
        <v>1.A.2.g.vii Off road vehicles and other machinerykt CO2-eq WEM</v>
      </c>
      <c r="D80" s="891" t="s">
        <v>377</v>
      </c>
      <c r="E80" s="33"/>
      <c r="F80" s="1015"/>
      <c r="G80" s="32"/>
      <c r="H80" s="1015"/>
      <c r="I80" s="1084"/>
      <c r="J80" s="1084"/>
      <c r="K80" s="1084"/>
      <c r="L80" s="1084"/>
      <c r="M80" s="1084"/>
      <c r="N80" s="1084"/>
      <c r="O80" s="1084"/>
      <c r="P80" s="1084"/>
      <c r="Q80" s="1084"/>
      <c r="R80" s="1084"/>
      <c r="S80" s="1084"/>
      <c r="T80" s="1084"/>
      <c r="U80" s="1084"/>
      <c r="V80" s="1084"/>
      <c r="W80" s="1084"/>
      <c r="X80" s="1292"/>
      <c r="Y80" s="1084"/>
      <c r="Z80" s="1084"/>
      <c r="AA80" s="1084"/>
      <c r="AB80" s="1084"/>
      <c r="AC80" s="1084"/>
      <c r="AD80" s="1084"/>
      <c r="AE80" s="1084"/>
      <c r="AF80" s="1084"/>
      <c r="AG80" s="1084"/>
      <c r="AH80" s="1084"/>
      <c r="AI80" s="1084"/>
      <c r="AJ80" s="1084"/>
      <c r="AK80" s="1084"/>
      <c r="AL80" s="1084"/>
      <c r="AM80" s="1084"/>
      <c r="AN80" s="1084"/>
      <c r="AO80" s="1084"/>
      <c r="AP80" s="1093"/>
      <c r="AQ80" s="1093"/>
      <c r="AR80" s="168">
        <f t="shared" si="16"/>
        <v>54.166925310289855</v>
      </c>
      <c r="AS80" s="1085">
        <v>53.852478056963498</v>
      </c>
      <c r="AT80" s="1085">
        <v>56.093907847949303</v>
      </c>
      <c r="AU80" s="1085">
        <v>56.006139850203617</v>
      </c>
      <c r="AV80" s="1085">
        <v>55.364910269399367</v>
      </c>
      <c r="AW80" s="1087">
        <v>55.220862078932136</v>
      </c>
      <c r="AX80" s="1085">
        <v>55.229306021227671</v>
      </c>
      <c r="AY80" s="1085">
        <v>55.004837360019607</v>
      </c>
      <c r="AZ80" s="1085">
        <v>54.758850622216933</v>
      </c>
      <c r="BA80" s="1085">
        <v>54.448312670589303</v>
      </c>
      <c r="BB80" s="1087">
        <v>54.011294856356606</v>
      </c>
      <c r="BC80" s="1085">
        <v>53.554765876253448</v>
      </c>
      <c r="BD80" s="1085">
        <v>52.931142687582977</v>
      </c>
      <c r="BE80" s="1085">
        <v>52.199760489191384</v>
      </c>
      <c r="BF80" s="1085">
        <v>51.380406128196164</v>
      </c>
      <c r="BG80" s="1085">
        <v>50.352870112432008</v>
      </c>
      <c r="BH80" s="1085">
        <v>49.191801925024642</v>
      </c>
      <c r="BI80" s="1085">
        <v>47.770325943681996</v>
      </c>
      <c r="BJ80" s="1085">
        <v>46.171693448294448</v>
      </c>
      <c r="BK80" s="1085">
        <v>44.39735300653242</v>
      </c>
      <c r="BL80" s="1085">
        <v>42.366152159880919</v>
      </c>
      <c r="BM80" s="1085">
        <v>40.128361274926007</v>
      </c>
      <c r="BN80" s="1085">
        <v>37.664032490551037</v>
      </c>
      <c r="BO80" s="1085">
        <v>35.088548976285502</v>
      </c>
      <c r="BP80" s="1085">
        <v>32.397453847436871</v>
      </c>
      <c r="BQ80" s="1085">
        <v>29.622332354862529</v>
      </c>
      <c r="BR80" s="1085">
        <v>26.885098212235949</v>
      </c>
      <c r="BS80" s="1085">
        <v>24.206251829488068</v>
      </c>
      <c r="BT80" s="1085">
        <v>21.638975185341174</v>
      </c>
      <c r="BU80" s="1085">
        <v>19.229829642246877</v>
      </c>
      <c r="BV80" s="1085">
        <v>17.010217485311944</v>
      </c>
    </row>
    <row r="81" spans="1:74" s="68" customFormat="1" ht="18" customHeight="1" x14ac:dyDescent="0.4">
      <c r="A81" s="859"/>
      <c r="B81" s="842" t="s">
        <v>51</v>
      </c>
      <c r="C81" s="866" t="str">
        <f t="shared" si="15"/>
        <v>1.B.2.d Geothermal Energykt CO2-eq WEM</v>
      </c>
      <c r="D81" s="891" t="s">
        <v>377</v>
      </c>
      <c r="E81" s="11" t="s">
        <v>10</v>
      </c>
      <c r="F81" s="64"/>
      <c r="G81" s="10" t="s">
        <v>121</v>
      </c>
      <c r="H81" s="64"/>
      <c r="I81" s="1075"/>
      <c r="J81" s="1075"/>
      <c r="K81" s="1075"/>
      <c r="L81" s="1075"/>
      <c r="M81" s="1075"/>
      <c r="N81" s="1075"/>
      <c r="O81" s="1075"/>
      <c r="P81" s="1075"/>
      <c r="Q81" s="1075"/>
      <c r="R81" s="1075"/>
      <c r="S81" s="1075"/>
      <c r="T81" s="1075"/>
      <c r="U81" s="1075"/>
      <c r="V81" s="1075"/>
      <c r="W81" s="1075"/>
      <c r="X81" s="1289"/>
      <c r="Y81" s="1075"/>
      <c r="Z81" s="1075"/>
      <c r="AA81" s="1075"/>
      <c r="AB81" s="1075"/>
      <c r="AC81" s="1075"/>
      <c r="AD81" s="1075"/>
      <c r="AE81" s="1075"/>
      <c r="AF81" s="1075"/>
      <c r="AG81" s="1075"/>
      <c r="AH81" s="1075"/>
      <c r="AI81" s="1075"/>
      <c r="AJ81" s="1075"/>
      <c r="AK81" s="1075"/>
      <c r="AL81" s="1075"/>
      <c r="AM81" s="1075"/>
      <c r="AN81" s="1075"/>
      <c r="AO81" s="1075"/>
      <c r="AP81" s="1088"/>
      <c r="AQ81" s="1088"/>
      <c r="AR81" s="168">
        <f t="shared" si="16"/>
        <v>214.07609476451782</v>
      </c>
      <c r="AS81" s="23">
        <v>200.08931930544816</v>
      </c>
      <c r="AT81" s="23">
        <v>200.11599544820228</v>
      </c>
      <c r="AU81" s="23">
        <v>200.10978527269327</v>
      </c>
      <c r="AV81" s="23">
        <v>200.10503334211458</v>
      </c>
      <c r="AW81" s="703">
        <v>187.31167135433674</v>
      </c>
      <c r="AX81" s="23">
        <v>185.34216199016637</v>
      </c>
      <c r="AY81" s="23">
        <v>185.34168800695139</v>
      </c>
      <c r="AZ81" s="23">
        <v>185.34264000619092</v>
      </c>
      <c r="BA81" s="23">
        <v>185.34216333443621</v>
      </c>
      <c r="BB81" s="703">
        <v>185.34216378252611</v>
      </c>
      <c r="BC81" s="23">
        <v>185.34232237438439</v>
      </c>
      <c r="BD81" s="23">
        <v>185.34221649711557</v>
      </c>
      <c r="BE81" s="23">
        <v>185.34223421800871</v>
      </c>
      <c r="BF81" s="23">
        <v>185.34225769650291</v>
      </c>
      <c r="BG81" s="23">
        <v>185.34223613720908</v>
      </c>
      <c r="BH81" s="23">
        <v>185.3422426839069</v>
      </c>
      <c r="BI81" s="23">
        <v>185.34224550587297</v>
      </c>
      <c r="BJ81" s="23">
        <v>185.34224144232965</v>
      </c>
      <c r="BK81" s="23">
        <v>185.34224321070317</v>
      </c>
      <c r="BL81" s="23">
        <v>185.34224338630193</v>
      </c>
      <c r="BM81" s="23">
        <v>185.3422426797782</v>
      </c>
      <c r="BN81" s="23">
        <v>185.3422430922611</v>
      </c>
      <c r="BO81" s="23">
        <v>185.34224305278045</v>
      </c>
      <c r="BP81" s="23">
        <v>185.3422429416066</v>
      </c>
      <c r="BQ81" s="23">
        <v>185.34224302888268</v>
      </c>
      <c r="BR81" s="23">
        <v>185.34224300775654</v>
      </c>
      <c r="BS81" s="23">
        <v>185.34224299274857</v>
      </c>
      <c r="BT81" s="23">
        <v>185.34224300979596</v>
      </c>
      <c r="BU81" s="23">
        <v>185.34224300343371</v>
      </c>
      <c r="BV81" s="23">
        <v>185.34224300199278</v>
      </c>
    </row>
    <row r="82" spans="1:74" s="68" customFormat="1" ht="18" customHeight="1" x14ac:dyDescent="0.4">
      <c r="A82" s="859"/>
      <c r="B82" s="842" t="s">
        <v>87</v>
      </c>
      <c r="C82" s="866" t="str">
        <f t="shared" si="15"/>
        <v>1. Energy OTHER kt CO2-eq WEM</v>
      </c>
      <c r="D82" s="891" t="s">
        <v>377</v>
      </c>
      <c r="E82" s="22" t="s">
        <v>23</v>
      </c>
      <c r="F82" s="64"/>
      <c r="G82" s="10" t="s">
        <v>164</v>
      </c>
      <c r="H82" s="64"/>
      <c r="I82" s="1075"/>
      <c r="J82" s="1075"/>
      <c r="K82" s="1075"/>
      <c r="L82" s="1075"/>
      <c r="M82" s="1075"/>
      <c r="N82" s="1075"/>
      <c r="O82" s="1075"/>
      <c r="P82" s="1075"/>
      <c r="Q82" s="1075"/>
      <c r="R82" s="1075"/>
      <c r="S82" s="1075"/>
      <c r="T82" s="1075"/>
      <c r="U82" s="1075"/>
      <c r="V82" s="1075"/>
      <c r="W82" s="1075"/>
      <c r="X82" s="1289"/>
      <c r="Y82" s="1075"/>
      <c r="Z82" s="1075"/>
      <c r="AA82" s="1075"/>
      <c r="AB82" s="1075"/>
      <c r="AC82" s="1075"/>
      <c r="AD82" s="1075"/>
      <c r="AE82" s="1075"/>
      <c r="AF82" s="1075"/>
      <c r="AG82" s="1075"/>
      <c r="AH82" s="1075"/>
      <c r="AI82" s="1075"/>
      <c r="AJ82" s="1075"/>
      <c r="AK82" s="1075"/>
      <c r="AL82" s="1075"/>
      <c r="AM82" s="1075"/>
      <c r="AN82" s="1075"/>
      <c r="AO82" s="1075"/>
      <c r="AP82" s="1088"/>
      <c r="AQ82" s="1088"/>
      <c r="AR82" s="168">
        <f t="shared" si="16"/>
        <v>14.418335968391148</v>
      </c>
      <c r="AS82" s="11">
        <f t="shared" ref="AS82:BA82" si="25">AS83-SUM(AS70:AS71,AS72:AS74,AS78,AS81)</f>
        <v>16.440989737024211</v>
      </c>
      <c r="AT82" s="11">
        <f t="shared" si="25"/>
        <v>16.853087541659988</v>
      </c>
      <c r="AU82" s="11">
        <f t="shared" si="25"/>
        <v>17.613455826982545</v>
      </c>
      <c r="AV82" s="11">
        <f t="shared" si="25"/>
        <v>17.582226039304032</v>
      </c>
      <c r="AW82" s="704">
        <f t="shared" si="25"/>
        <v>17.898557850854104</v>
      </c>
      <c r="AX82" s="11">
        <f t="shared" si="25"/>
        <v>17.067960448804342</v>
      </c>
      <c r="AY82" s="11">
        <f t="shared" si="25"/>
        <v>17.431669815186297</v>
      </c>
      <c r="AZ82" s="11">
        <f t="shared" si="25"/>
        <v>17.539839133393116</v>
      </c>
      <c r="BA82" s="11">
        <f t="shared" si="25"/>
        <v>17.690786260949835</v>
      </c>
      <c r="BB82" s="704">
        <f t="shared" ref="BB82:BO82" si="26">BB83-SUM(BB70:BB71,BB72:BB74,BB78,BB81)</f>
        <v>17.662232053185335</v>
      </c>
      <c r="BC82" s="11">
        <f t="shared" si="26"/>
        <v>17.663394432147015</v>
      </c>
      <c r="BD82" s="11">
        <f t="shared" si="26"/>
        <v>17.585718148959586</v>
      </c>
      <c r="BE82" s="11">
        <f t="shared" si="26"/>
        <v>17.642450256882967</v>
      </c>
      <c r="BF82" s="11">
        <f t="shared" si="26"/>
        <v>17.633285777239735</v>
      </c>
      <c r="BG82" s="11">
        <f t="shared" si="26"/>
        <v>17.584655491438753</v>
      </c>
      <c r="BH82" s="11">
        <f t="shared" si="26"/>
        <v>17.549549684924159</v>
      </c>
      <c r="BI82" s="11">
        <f t="shared" si="26"/>
        <v>17.513874681384323</v>
      </c>
      <c r="BJ82" s="11">
        <f t="shared" si="26"/>
        <v>17.479907642222315</v>
      </c>
      <c r="BK82" s="11">
        <f t="shared" si="26"/>
        <v>17.443367276770573</v>
      </c>
      <c r="BL82" s="11">
        <f t="shared" si="26"/>
        <v>17.378447841376669</v>
      </c>
      <c r="BM82" s="11">
        <f t="shared" si="26"/>
        <v>17.313290208135641</v>
      </c>
      <c r="BN82" s="11">
        <f t="shared" si="26"/>
        <v>17.23890182457535</v>
      </c>
      <c r="BO82" s="11">
        <f t="shared" si="26"/>
        <v>17.132827150035041</v>
      </c>
      <c r="BP82" s="11">
        <f t="shared" ref="BP82:BU82" si="27">BP83-SUM(BP70:BP71,BP72:BP74,BP78,BP81)</f>
        <v>16.965713489498512</v>
      </c>
      <c r="BQ82" s="11">
        <f t="shared" si="27"/>
        <v>16.521183747239093</v>
      </c>
      <c r="BR82" s="11">
        <f t="shared" si="27"/>
        <v>16.522911912275276</v>
      </c>
      <c r="BS82" s="11">
        <f t="shared" si="27"/>
        <v>16.520058562778331</v>
      </c>
      <c r="BT82" s="11">
        <f t="shared" si="27"/>
        <v>16.520355718459655</v>
      </c>
      <c r="BU82" s="11">
        <f t="shared" si="27"/>
        <v>16.521433464570691</v>
      </c>
      <c r="BV82" s="11">
        <f t="shared" ref="BV82" si="28">BV83-SUM(BV70:BV71,BV72:BV74,BV78,BV81)</f>
        <v>16.518678114026102</v>
      </c>
    </row>
    <row r="83" spans="1:74" s="63" customFormat="1" ht="18" customHeight="1" x14ac:dyDescent="0.4">
      <c r="A83" s="861"/>
      <c r="B83" s="842" t="s">
        <v>38</v>
      </c>
      <c r="C83" s="866" t="str">
        <f t="shared" ref="C83" si="29">B83&amp;" "&amp;D83</f>
        <v>1. Energykt CO2-eq WEM</v>
      </c>
      <c r="D83" s="891" t="s">
        <v>377</v>
      </c>
      <c r="E83" s="25" t="s">
        <v>117</v>
      </c>
      <c r="F83" s="89"/>
      <c r="G83" s="13"/>
      <c r="H83" s="89"/>
      <c r="I83" s="1076"/>
      <c r="J83" s="1076"/>
      <c r="K83" s="1076"/>
      <c r="L83" s="1076"/>
      <c r="M83" s="1076"/>
      <c r="N83" s="1076"/>
      <c r="O83" s="1076"/>
      <c r="P83" s="1076"/>
      <c r="Q83" s="1076"/>
      <c r="R83" s="1076"/>
      <c r="S83" s="1076"/>
      <c r="T83" s="1076"/>
      <c r="U83" s="1076"/>
      <c r="V83" s="1076"/>
      <c r="W83" s="1076"/>
      <c r="X83" s="1290"/>
      <c r="Y83" s="1076"/>
      <c r="Z83" s="1076"/>
      <c r="AA83" s="1076"/>
      <c r="AB83" s="1076"/>
      <c r="AC83" s="1076"/>
      <c r="AD83" s="1076"/>
      <c r="AE83" s="1076"/>
      <c r="AF83" s="1076"/>
      <c r="AG83" s="1076"/>
      <c r="AH83" s="1076"/>
      <c r="AI83" s="1076"/>
      <c r="AJ83" s="1076"/>
      <c r="AK83" s="1076"/>
      <c r="AL83" s="1076"/>
      <c r="AM83" s="1076"/>
      <c r="AN83" s="1076"/>
      <c r="AO83" s="1076"/>
      <c r="AP83" s="1094"/>
      <c r="AQ83" s="1094"/>
      <c r="AR83" s="168">
        <f t="shared" si="16"/>
        <v>1804.0629487280448</v>
      </c>
      <c r="AS83" s="1054">
        <v>1758.5094747709545</v>
      </c>
      <c r="AT83" s="1054">
        <v>1732.6042929599189</v>
      </c>
      <c r="AU83" s="1054">
        <v>1709.9416233638956</v>
      </c>
      <c r="AV83" s="1054">
        <v>1672.4262300053508</v>
      </c>
      <c r="AW83" s="1049">
        <v>1615.9379678589469</v>
      </c>
      <c r="AX83" s="1054">
        <v>1574.3615886503803</v>
      </c>
      <c r="AY83" s="1054">
        <v>1531.5851559294365</v>
      </c>
      <c r="AZ83" s="1054">
        <v>1490.3890547842248</v>
      </c>
      <c r="BA83" s="1054">
        <v>1447.2699657791948</v>
      </c>
      <c r="BB83" s="1049">
        <v>1394.0311872631319</v>
      </c>
      <c r="BC83" s="1054">
        <v>1345.4231240398587</v>
      </c>
      <c r="BD83" s="1054">
        <v>1294.7100348349491</v>
      </c>
      <c r="BE83" s="1054">
        <v>1242.905436859035</v>
      </c>
      <c r="BF83" s="1054">
        <v>1190.189465593076</v>
      </c>
      <c r="BG83" s="1054">
        <v>1135.2863070288322</v>
      </c>
      <c r="BH83" s="1054">
        <v>1083.9854547482055</v>
      </c>
      <c r="BI83" s="1054">
        <v>1032.4542634119487</v>
      </c>
      <c r="BJ83" s="1054">
        <v>980.79770877663452</v>
      </c>
      <c r="BK83" s="1054">
        <v>929.26711096372799</v>
      </c>
      <c r="BL83" s="1054">
        <v>880.40563931435111</v>
      </c>
      <c r="BM83" s="1054">
        <v>831.27040973013845</v>
      </c>
      <c r="BN83" s="1054">
        <v>781.25803186000076</v>
      </c>
      <c r="BO83" s="1054">
        <v>730.22741237509422</v>
      </c>
      <c r="BP83" s="1054">
        <v>678.3937020524927</v>
      </c>
      <c r="BQ83" s="1054">
        <v>625.561263541382</v>
      </c>
      <c r="BR83" s="1054">
        <v>568.48751747525944</v>
      </c>
      <c r="BS83" s="1054">
        <v>529.90447871738957</v>
      </c>
      <c r="BT83" s="1054">
        <v>495.98531443900447</v>
      </c>
      <c r="BU83" s="1054">
        <v>467.23701209930607</v>
      </c>
      <c r="BV83" s="1054">
        <v>444.92118695443924</v>
      </c>
    </row>
    <row r="84" spans="1:74" s="1080" customFormat="1" ht="15" customHeight="1" x14ac:dyDescent="0.4">
      <c r="A84" s="1078" t="s">
        <v>383</v>
      </c>
      <c r="B84" s="1078"/>
      <c r="C84" s="1079"/>
      <c r="D84" s="893"/>
      <c r="E84" s="95" t="s">
        <v>301</v>
      </c>
      <c r="F84" s="1010"/>
      <c r="G84" s="153"/>
      <c r="H84" s="1010"/>
      <c r="I84" s="95"/>
      <c r="J84" s="95"/>
      <c r="K84" s="95"/>
      <c r="L84" s="95"/>
      <c r="M84" s="95"/>
      <c r="N84" s="95"/>
      <c r="O84" s="95"/>
      <c r="P84" s="95"/>
      <c r="Q84" s="95"/>
      <c r="R84" s="95"/>
      <c r="S84" s="95"/>
      <c r="T84" s="95"/>
      <c r="U84" s="95"/>
      <c r="V84" s="95"/>
      <c r="W84" s="95"/>
      <c r="X84" s="1074"/>
      <c r="Y84" s="95"/>
      <c r="Z84" s="95"/>
      <c r="AA84" s="95"/>
      <c r="AB84" s="95"/>
      <c r="AC84" s="95"/>
      <c r="AD84" s="95"/>
      <c r="AE84" s="95"/>
      <c r="AF84" s="95"/>
      <c r="AG84" s="95"/>
      <c r="AH84" s="95"/>
      <c r="AI84" s="95"/>
      <c r="AJ84" s="95"/>
      <c r="AK84" s="95"/>
      <c r="AL84" s="95"/>
      <c r="AM84" s="95"/>
      <c r="AN84" s="95"/>
      <c r="AO84" s="95"/>
      <c r="AP84" s="95">
        <f>AP68</f>
        <v>191.21882503180763</v>
      </c>
      <c r="AQ84" s="95"/>
      <c r="AR84" s="95">
        <f t="shared" si="16"/>
        <v>190.65557942967135</v>
      </c>
      <c r="AS84" s="982"/>
      <c r="AT84" s="982"/>
      <c r="AU84" s="982"/>
      <c r="AV84" s="982"/>
      <c r="AW84" s="982"/>
      <c r="AX84" s="982"/>
      <c r="AY84" s="982"/>
      <c r="AZ84" s="982"/>
      <c r="BA84" s="982"/>
      <c r="BB84" s="982"/>
      <c r="BC84" s="982"/>
      <c r="BD84" s="982"/>
      <c r="BE84" s="95"/>
      <c r="BF84" s="95"/>
      <c r="BG84" s="95"/>
      <c r="BH84" s="95"/>
      <c r="BI84" s="95"/>
      <c r="BJ84" s="95"/>
      <c r="BK84" s="95"/>
      <c r="BL84" s="95"/>
      <c r="BM84" s="95"/>
      <c r="BN84" s="95"/>
      <c r="BO84" s="95"/>
      <c r="BP84" s="95"/>
      <c r="BQ84" s="95"/>
      <c r="BR84" s="95"/>
      <c r="BS84" s="95"/>
      <c r="BT84" s="95"/>
      <c r="BU84" s="95"/>
      <c r="BV84" s="95"/>
    </row>
    <row r="85" spans="1:74" s="63" customFormat="1" x14ac:dyDescent="0.4">
      <c r="A85" s="861"/>
      <c r="B85" s="848"/>
      <c r="C85" s="867"/>
      <c r="D85" s="891"/>
      <c r="E85" s="35"/>
      <c r="F85" s="90"/>
      <c r="G85" s="34"/>
      <c r="H85" s="90"/>
      <c r="I85" s="1048"/>
      <c r="J85" s="1048"/>
      <c r="K85" s="1048"/>
      <c r="L85" s="1048"/>
      <c r="M85" s="1048"/>
      <c r="N85" s="1048"/>
      <c r="O85" s="1048"/>
      <c r="P85" s="1048"/>
      <c r="Q85" s="1048"/>
      <c r="R85" s="1048"/>
      <c r="S85" s="1048"/>
      <c r="T85" s="1048"/>
      <c r="U85" s="35"/>
      <c r="V85" s="35"/>
      <c r="W85" s="35"/>
      <c r="X85" s="82"/>
      <c r="Y85" s="35"/>
      <c r="Z85" s="35"/>
      <c r="AA85" s="35"/>
      <c r="AB85" s="35"/>
      <c r="AC85" s="35"/>
      <c r="AD85" s="35"/>
      <c r="AE85" s="35"/>
      <c r="AF85" s="35"/>
      <c r="AG85" s="35"/>
      <c r="AH85" s="35"/>
      <c r="AI85" s="35"/>
      <c r="AJ85" s="35"/>
      <c r="AK85" s="35"/>
      <c r="AL85" s="35"/>
      <c r="AM85" s="35"/>
      <c r="AN85" s="35"/>
      <c r="AO85" s="35"/>
      <c r="AP85" s="35"/>
      <c r="AQ85" s="35"/>
      <c r="AW85" s="621"/>
      <c r="BB85" s="621"/>
    </row>
    <row r="86" spans="1:74" s="1159" customFormat="1" ht="47.4" customHeight="1" x14ac:dyDescent="0.75">
      <c r="A86" s="1156"/>
      <c r="B86" s="836"/>
      <c r="C86" s="870"/>
      <c r="D86" s="1149"/>
      <c r="E86" s="1157" t="s">
        <v>441</v>
      </c>
      <c r="F86" s="1016"/>
      <c r="G86" s="36"/>
      <c r="H86" s="1016"/>
      <c r="I86" s="38"/>
      <c r="J86" s="1158"/>
      <c r="K86" s="1158"/>
      <c r="L86" s="1158"/>
      <c r="M86" s="1158"/>
      <c r="N86" s="1158"/>
      <c r="O86" s="1158"/>
      <c r="P86" s="1158"/>
      <c r="Q86" s="1158"/>
      <c r="R86" s="1158"/>
      <c r="S86" s="1158"/>
      <c r="T86" s="1158"/>
      <c r="U86" s="1158"/>
      <c r="V86" s="1158"/>
      <c r="W86" s="1158"/>
      <c r="X86" s="1294"/>
      <c r="Y86" s="1158"/>
      <c r="Z86" s="1158"/>
      <c r="AA86" s="1158"/>
      <c r="AB86" s="1158"/>
      <c r="AC86" s="1158"/>
      <c r="AD86" s="1158"/>
      <c r="AE86" s="1158"/>
      <c r="AF86" s="1158"/>
      <c r="AG86" s="1158"/>
      <c r="AH86" s="1158"/>
      <c r="AI86" s="1158"/>
      <c r="AJ86" s="1158"/>
      <c r="AK86" s="1158"/>
      <c r="AL86" s="1158"/>
      <c r="AM86" s="1158"/>
      <c r="AN86" s="1158"/>
      <c r="AO86" s="1158"/>
      <c r="AP86" s="1158"/>
      <c r="AQ86" s="1158"/>
      <c r="AW86" s="1160"/>
      <c r="BB86" s="1161"/>
    </row>
    <row r="87" spans="1:74" s="1276" customFormat="1" ht="48" customHeight="1" x14ac:dyDescent="0.4">
      <c r="A87" s="855"/>
      <c r="B87" s="1255"/>
      <c r="C87" s="1256"/>
      <c r="D87" s="1225"/>
      <c r="E87" s="1270"/>
      <c r="F87" s="1271"/>
      <c r="G87" s="1272"/>
      <c r="H87" s="1271"/>
      <c r="I87" s="1273"/>
      <c r="J87" s="1274"/>
      <c r="K87" s="1274"/>
      <c r="L87" s="1274"/>
      <c r="M87" s="1274"/>
      <c r="N87" s="1274"/>
      <c r="O87" s="1274"/>
      <c r="P87" s="1274"/>
      <c r="Q87" s="1274"/>
      <c r="R87" s="1274"/>
      <c r="S87" s="1274"/>
      <c r="T87" s="1274"/>
      <c r="U87" s="1274"/>
      <c r="V87" s="1274"/>
      <c r="W87" s="1274"/>
      <c r="X87" s="1275"/>
      <c r="Y87" s="1274"/>
      <c r="Z87" s="1274"/>
      <c r="AA87" s="1274"/>
      <c r="AB87" s="1274"/>
      <c r="AC87" s="1274"/>
      <c r="AD87" s="1274"/>
      <c r="AE87" s="1274"/>
      <c r="AF87" s="1274"/>
      <c r="AG87" s="1274"/>
      <c r="AH87" s="1274"/>
      <c r="AI87" s="1274"/>
      <c r="AJ87" s="1274"/>
      <c r="AK87" s="1274"/>
      <c r="AL87" s="1274"/>
      <c r="AM87" s="1274"/>
      <c r="AN87" s="1274"/>
      <c r="AO87" s="1274"/>
      <c r="AP87" s="1274"/>
      <c r="AQ87" s="1274"/>
      <c r="AR87" s="1274"/>
      <c r="AS87" s="1274"/>
      <c r="AT87" s="1274"/>
      <c r="AU87" s="1274"/>
      <c r="AV87" s="1274"/>
      <c r="AW87" s="1275"/>
      <c r="AX87" s="1274"/>
      <c r="AY87" s="1274"/>
      <c r="AZ87" s="1274"/>
      <c r="BA87" s="1274"/>
      <c r="BB87" s="1275"/>
      <c r="BC87" s="1274"/>
      <c r="BD87" s="1274"/>
      <c r="BE87" s="1274"/>
      <c r="BF87" s="1274"/>
      <c r="BG87" s="1274"/>
      <c r="BH87" s="1274"/>
      <c r="BI87" s="1274"/>
      <c r="BJ87" s="1274"/>
      <c r="BK87" s="1274"/>
      <c r="BL87" s="1274"/>
      <c r="BM87" s="1274"/>
      <c r="BN87" s="1274"/>
      <c r="BO87" s="1274"/>
      <c r="BP87" s="1274"/>
      <c r="BQ87" s="1274"/>
      <c r="BR87" s="1274"/>
      <c r="BS87" s="1274"/>
      <c r="BT87" s="1274"/>
      <c r="BU87" s="1274"/>
      <c r="BV87" s="1274"/>
    </row>
    <row r="88" spans="1:74" s="63" customFormat="1" x14ac:dyDescent="0.4">
      <c r="A88" s="861"/>
      <c r="B88" s="848"/>
      <c r="C88" s="867"/>
      <c r="D88" s="891"/>
      <c r="E88" s="35"/>
      <c r="F88" s="90"/>
      <c r="G88" s="34"/>
      <c r="H88" s="90"/>
      <c r="I88" s="1048"/>
      <c r="J88" s="1048"/>
      <c r="K88" s="1048"/>
      <c r="L88" s="1048"/>
      <c r="M88" s="1048"/>
      <c r="N88" s="1048"/>
      <c r="O88" s="1048"/>
      <c r="P88" s="1048"/>
      <c r="Q88" s="1048"/>
      <c r="R88" s="1048"/>
      <c r="S88" s="1048"/>
      <c r="T88" s="1048"/>
      <c r="U88" s="35"/>
      <c r="V88" s="35"/>
      <c r="W88" s="35"/>
      <c r="X88" s="82"/>
      <c r="Y88" s="35"/>
      <c r="Z88" s="35"/>
      <c r="AA88" s="35"/>
      <c r="AB88" s="35"/>
      <c r="AC88" s="35"/>
      <c r="AD88" s="35"/>
      <c r="AE88" s="35"/>
      <c r="AF88" s="35"/>
      <c r="AG88" s="35"/>
      <c r="AH88" s="35"/>
      <c r="AI88" s="35"/>
      <c r="AJ88" s="35"/>
      <c r="AK88" s="35"/>
      <c r="AL88" s="35"/>
      <c r="AM88" s="35"/>
      <c r="AN88" s="35"/>
      <c r="AO88" s="35"/>
      <c r="AP88" s="35"/>
      <c r="AQ88" s="35"/>
      <c r="AW88" s="621"/>
      <c r="BB88" s="621"/>
    </row>
    <row r="89" spans="1:74" s="762" customFormat="1" x14ac:dyDescent="0.4">
      <c r="A89" s="854"/>
      <c r="B89" s="837"/>
      <c r="C89" s="871" t="s">
        <v>44</v>
      </c>
      <c r="D89" s="884"/>
      <c r="E89" s="760" t="str">
        <f>$E$5</f>
        <v>Söguleg losun</v>
      </c>
      <c r="F89" s="768"/>
      <c r="G89" s="760" t="s">
        <v>330</v>
      </c>
      <c r="H89" s="768"/>
      <c r="I89" s="761"/>
      <c r="J89" s="762" t="s">
        <v>44</v>
      </c>
      <c r="K89" s="763"/>
      <c r="L89" s="764"/>
      <c r="M89" s="765"/>
      <c r="N89" s="763"/>
      <c r="O89" s="763"/>
      <c r="P89" s="763"/>
      <c r="Q89" s="763"/>
      <c r="R89" s="763"/>
      <c r="S89" s="763"/>
      <c r="T89" s="763"/>
      <c r="U89" s="763"/>
      <c r="V89" s="763"/>
      <c r="W89" s="763"/>
      <c r="X89" s="1074"/>
      <c r="Y89" s="763"/>
      <c r="Z89" s="763"/>
      <c r="AA89" s="763"/>
      <c r="AB89" s="763"/>
      <c r="AC89" s="763"/>
      <c r="AD89" s="763"/>
      <c r="AE89" s="763"/>
      <c r="AF89" s="763"/>
      <c r="AG89" s="763"/>
      <c r="AH89" s="763"/>
      <c r="AI89" s="763"/>
      <c r="AJ89" s="763"/>
      <c r="AK89" s="763"/>
      <c r="AL89" s="763"/>
      <c r="AM89" s="763"/>
      <c r="AN89" s="763"/>
      <c r="AO89" s="763"/>
      <c r="AP89" s="763"/>
      <c r="AQ89" s="763"/>
      <c r="AR89" s="766"/>
      <c r="AS89" s="766"/>
      <c r="AT89" s="766"/>
      <c r="AU89" s="766"/>
      <c r="AV89" s="766"/>
      <c r="AW89" s="767"/>
      <c r="AX89" s="766"/>
      <c r="AY89" s="766"/>
      <c r="AZ89" s="766"/>
      <c r="BA89" s="766"/>
      <c r="BB89" s="790"/>
      <c r="BC89" s="766"/>
      <c r="BD89" s="766"/>
      <c r="BE89" s="766"/>
      <c r="BF89" s="766"/>
      <c r="BG89" s="766"/>
      <c r="BH89" s="766"/>
      <c r="BI89" s="766"/>
      <c r="BJ89" s="766"/>
      <c r="BK89" s="766"/>
      <c r="BL89" s="766"/>
      <c r="BM89" s="766"/>
      <c r="BN89" s="766"/>
      <c r="BO89" s="766"/>
      <c r="BP89" s="766"/>
      <c r="BQ89" s="766"/>
      <c r="BR89" s="766"/>
      <c r="BS89" s="766"/>
      <c r="BT89" s="766"/>
      <c r="BU89" s="766"/>
      <c r="BV89" s="766"/>
    </row>
    <row r="90" spans="1:74" s="68" customFormat="1" ht="18" customHeight="1" x14ac:dyDescent="0.4">
      <c r="A90" s="859"/>
      <c r="B90" s="842" t="s">
        <v>54</v>
      </c>
      <c r="C90" s="867" t="s">
        <v>44</v>
      </c>
      <c r="D90" s="890"/>
      <c r="E90" s="11" t="s">
        <v>15</v>
      </c>
      <c r="F90" s="64"/>
      <c r="G90" s="10" t="s">
        <v>136</v>
      </c>
      <c r="H90" s="64"/>
      <c r="I90" s="11">
        <v>584.02647277080598</v>
      </c>
      <c r="J90" s="11">
        <v>511.273947602943</v>
      </c>
      <c r="K90" s="11">
        <v>301.38514547007009</v>
      </c>
      <c r="L90" s="11">
        <v>220.97402310838271</v>
      </c>
      <c r="M90" s="11">
        <v>198.23658153612337</v>
      </c>
      <c r="N90" s="11">
        <v>216.34383922975644</v>
      </c>
      <c r="O90" s="11">
        <v>186.93379884741088</v>
      </c>
      <c r="P90" s="11">
        <v>280.12409822292682</v>
      </c>
      <c r="Q90" s="11">
        <v>462.00564836059743</v>
      </c>
      <c r="R90" s="11">
        <v>537.93035391162721</v>
      </c>
      <c r="S90" s="11">
        <v>487.74535268246626</v>
      </c>
      <c r="T90" s="11">
        <v>479.60292131211997</v>
      </c>
      <c r="U90" s="11">
        <v>478.11541899358679</v>
      </c>
      <c r="V90" s="11">
        <v>473.56894969857348</v>
      </c>
      <c r="W90" s="11">
        <v>456.78557352619629</v>
      </c>
      <c r="X90" s="704">
        <v>444.80851616708713</v>
      </c>
      <c r="Y90" s="11">
        <v>869.57185988485026</v>
      </c>
      <c r="Z90" s="11">
        <v>990.98126629758121</v>
      </c>
      <c r="AA90" s="11">
        <v>1556.7584922170536</v>
      </c>
      <c r="AB90" s="11">
        <v>1393.4018646112659</v>
      </c>
      <c r="AC90" s="11">
        <v>1391.9209450624717</v>
      </c>
      <c r="AD90" s="11">
        <v>1281.3105455922127</v>
      </c>
      <c r="AE90" s="11">
        <v>1328.7342410906138</v>
      </c>
      <c r="AF90" s="11">
        <v>1353.4714335748733</v>
      </c>
      <c r="AG90" s="11">
        <v>1368.5549133196287</v>
      </c>
      <c r="AH90" s="11">
        <v>1392.8009611325194</v>
      </c>
      <c r="AI90" s="11">
        <v>1354.0817500285532</v>
      </c>
      <c r="AJ90" s="11">
        <v>1385.559079923195</v>
      </c>
      <c r="AK90" s="11">
        <v>1382.5326490562106</v>
      </c>
      <c r="AL90" s="11">
        <v>1348.3578754895577</v>
      </c>
      <c r="AM90" s="11">
        <v>1328.8493581323712</v>
      </c>
      <c r="AN90" s="11">
        <v>1345.5222697586937</v>
      </c>
      <c r="AO90" s="11">
        <v>1354.2007303406649</v>
      </c>
      <c r="AP90" s="11">
        <v>1402.6496416686878</v>
      </c>
      <c r="AQ90" s="11">
        <v>1360.4116549515916</v>
      </c>
      <c r="AR90" s="11">
        <v>1290.3163042728158</v>
      </c>
      <c r="AS90" s="12"/>
      <c r="AT90" s="12"/>
      <c r="AU90" s="12"/>
      <c r="AV90" s="12"/>
      <c r="AW90" s="689"/>
      <c r="AX90" s="12"/>
      <c r="AY90" s="12"/>
      <c r="AZ90" s="12"/>
      <c r="BA90" s="12"/>
      <c r="BB90" s="791"/>
      <c r="BC90" s="12"/>
      <c r="BD90" s="12"/>
      <c r="BE90" s="12"/>
      <c r="BF90" s="12"/>
      <c r="BG90" s="12"/>
      <c r="BH90" s="12"/>
      <c r="BI90" s="12"/>
      <c r="BJ90" s="12"/>
      <c r="BK90" s="12"/>
      <c r="BL90" s="12"/>
      <c r="BM90" s="12"/>
      <c r="BN90" s="12"/>
      <c r="BO90" s="12"/>
      <c r="BP90" s="12"/>
      <c r="BQ90" s="12"/>
      <c r="BR90" s="12"/>
      <c r="BS90" s="12"/>
      <c r="BT90" s="12"/>
      <c r="BU90" s="12"/>
      <c r="BV90" s="12"/>
    </row>
    <row r="91" spans="1:74" s="68" customFormat="1" ht="18" customHeight="1" x14ac:dyDescent="0.4">
      <c r="A91" s="859"/>
      <c r="B91" s="842" t="s">
        <v>192</v>
      </c>
      <c r="C91" s="867" t="s">
        <v>44</v>
      </c>
      <c r="D91" s="890"/>
      <c r="E91" s="11" t="s">
        <v>35</v>
      </c>
      <c r="F91" s="64"/>
      <c r="G91" s="10" t="s">
        <v>137</v>
      </c>
      <c r="H91" s="64"/>
      <c r="I91" s="11">
        <v>210.55472170666667</v>
      </c>
      <c r="J91" s="11">
        <v>176.80528261706669</v>
      </c>
      <c r="K91" s="11">
        <v>188.28332888506671</v>
      </c>
      <c r="L91" s="11">
        <v>238.53559058533338</v>
      </c>
      <c r="M91" s="11">
        <v>232.49217533253338</v>
      </c>
      <c r="N91" s="11">
        <v>245.96401927226665</v>
      </c>
      <c r="O91" s="11">
        <v>235.22782835253332</v>
      </c>
      <c r="P91" s="11">
        <v>257.17700316373333</v>
      </c>
      <c r="Q91" s="11">
        <v>198.58720348560001</v>
      </c>
      <c r="R91" s="11">
        <v>257.83106455839999</v>
      </c>
      <c r="S91" s="11">
        <v>365.65036656475536</v>
      </c>
      <c r="T91" s="11">
        <v>386.08921316544843</v>
      </c>
      <c r="U91" s="11">
        <v>403.9326403148857</v>
      </c>
      <c r="V91" s="11">
        <v>402.47385277209037</v>
      </c>
      <c r="W91" s="11">
        <v>401.96736076842336</v>
      </c>
      <c r="X91" s="704">
        <v>379.94289400640002</v>
      </c>
      <c r="Y91" s="11">
        <v>381.71962690880008</v>
      </c>
      <c r="Z91" s="11">
        <v>401.35289110400004</v>
      </c>
      <c r="AA91" s="11">
        <v>351.97302632799995</v>
      </c>
      <c r="AB91" s="11">
        <v>353.3588710624</v>
      </c>
      <c r="AC91" s="11">
        <v>372.56202565120009</v>
      </c>
      <c r="AD91" s="11">
        <v>380.41566972484713</v>
      </c>
      <c r="AE91" s="11">
        <v>413.43718523066929</v>
      </c>
      <c r="AF91" s="11">
        <v>409.5077919157888</v>
      </c>
      <c r="AG91" s="11">
        <v>371.44549117182407</v>
      </c>
      <c r="AH91" s="11">
        <v>404.22007331306247</v>
      </c>
      <c r="AI91" s="11">
        <v>408.51819724381278</v>
      </c>
      <c r="AJ91" s="11">
        <v>431.82186025965422</v>
      </c>
      <c r="AK91" s="11">
        <v>455.77922710046619</v>
      </c>
      <c r="AL91" s="11">
        <v>432.40627007368806</v>
      </c>
      <c r="AM91" s="11">
        <v>418.71234892799322</v>
      </c>
      <c r="AN91" s="11">
        <v>476.02459170932525</v>
      </c>
      <c r="AO91" s="11">
        <v>517.72039053568767</v>
      </c>
      <c r="AP91" s="11">
        <v>408.20430474231654</v>
      </c>
      <c r="AQ91" s="11">
        <v>527.31915978550001</v>
      </c>
      <c r="AR91" s="11">
        <v>384.34514535840748</v>
      </c>
      <c r="AS91" s="12"/>
      <c r="AT91" s="12"/>
      <c r="AU91" s="12"/>
      <c r="AV91" s="12"/>
      <c r="AW91" s="689"/>
      <c r="AX91" s="12"/>
      <c r="AY91" s="12"/>
      <c r="AZ91" s="12"/>
      <c r="BA91" s="12"/>
      <c r="BB91" s="791"/>
      <c r="BC91" s="12"/>
      <c r="BD91" s="12"/>
      <c r="BE91" s="12"/>
      <c r="BF91" s="12"/>
      <c r="BG91" s="12"/>
      <c r="BH91" s="12"/>
      <c r="BI91" s="12"/>
      <c r="BJ91" s="12"/>
      <c r="BK91" s="12"/>
      <c r="BL91" s="12"/>
      <c r="BM91" s="12"/>
      <c r="BN91" s="12"/>
      <c r="BO91" s="12"/>
      <c r="BP91" s="12"/>
      <c r="BQ91" s="12"/>
      <c r="BR91" s="12"/>
      <c r="BS91" s="12"/>
      <c r="BT91" s="12"/>
      <c r="BU91" s="12"/>
      <c r="BV91" s="12"/>
    </row>
    <row r="92" spans="1:74" s="68" customFormat="1" ht="18" customHeight="1" x14ac:dyDescent="0.4">
      <c r="A92" s="859"/>
      <c r="B92" s="842" t="s">
        <v>56</v>
      </c>
      <c r="C92" s="867" t="s">
        <v>44</v>
      </c>
      <c r="D92" s="890"/>
      <c r="E92" s="11" t="s">
        <v>16</v>
      </c>
      <c r="F92" s="64"/>
      <c r="G92" s="10" t="s">
        <v>119</v>
      </c>
      <c r="H92" s="64"/>
      <c r="I92" s="87">
        <v>0.62943423722048131</v>
      </c>
      <c r="J92" s="87">
        <v>0.63441013664710888</v>
      </c>
      <c r="K92" s="87">
        <v>0.6418713797324751</v>
      </c>
      <c r="L92" s="87">
        <v>1.4398660686613078</v>
      </c>
      <c r="M92" s="87">
        <v>1.8532219037378401</v>
      </c>
      <c r="N92" s="87">
        <v>3.1524374656527585</v>
      </c>
      <c r="O92" s="11">
        <v>10.090640056146546</v>
      </c>
      <c r="P92" s="11">
        <v>16.136542009196635</v>
      </c>
      <c r="Q92" s="11">
        <v>25.459577985176988</v>
      </c>
      <c r="R92" s="11">
        <v>36.986739180206612</v>
      </c>
      <c r="S92" s="11">
        <v>42.96969339471142</v>
      </c>
      <c r="T92" s="11">
        <v>39.801371599174495</v>
      </c>
      <c r="U92" s="11">
        <v>44.625502235345373</v>
      </c>
      <c r="V92" s="11">
        <v>45.089736085133353</v>
      </c>
      <c r="W92" s="11">
        <v>52.144058659343614</v>
      </c>
      <c r="X92" s="704">
        <v>57.174648942645199</v>
      </c>
      <c r="Y92" s="11">
        <v>66.250268649095815</v>
      </c>
      <c r="Z92" s="11">
        <v>66.915546026360261</v>
      </c>
      <c r="AA92" s="11">
        <v>65.583171157312066</v>
      </c>
      <c r="AB92" s="11">
        <v>78.795271949020886</v>
      </c>
      <c r="AC92" s="11">
        <v>106.61470091301383</v>
      </c>
      <c r="AD92" s="11">
        <v>131.32983003906716</v>
      </c>
      <c r="AE92" s="11">
        <v>136.49856009831677</v>
      </c>
      <c r="AF92" s="11">
        <v>166.65889710933112</v>
      </c>
      <c r="AG92" s="11">
        <v>164.47325731678617</v>
      </c>
      <c r="AH92" s="11">
        <v>156.81946341166957</v>
      </c>
      <c r="AI92" s="11">
        <v>173.64328427983708</v>
      </c>
      <c r="AJ92" s="11">
        <v>164.58965162753336</v>
      </c>
      <c r="AK92" s="11">
        <v>182.47701962243832</v>
      </c>
      <c r="AL92" s="11">
        <v>194.37435453854647</v>
      </c>
      <c r="AM92" s="11">
        <v>198.14512441654921</v>
      </c>
      <c r="AN92" s="11">
        <v>162.47097960142474</v>
      </c>
      <c r="AO92" s="11">
        <v>133.24025432048776</v>
      </c>
      <c r="AP92" s="11">
        <v>124.58104370836502</v>
      </c>
      <c r="AQ92" s="11">
        <v>107.78462088442339</v>
      </c>
      <c r="AR92" s="11">
        <v>105.65811164441938</v>
      </c>
      <c r="AS92" s="12"/>
      <c r="AT92" s="12"/>
      <c r="AU92" s="12"/>
      <c r="AV92" s="12"/>
      <c r="AW92" s="689"/>
      <c r="AX92" s="12"/>
      <c r="AY92" s="12"/>
      <c r="AZ92" s="12"/>
      <c r="BA92" s="12"/>
      <c r="BB92" s="791"/>
      <c r="BC92" s="12"/>
      <c r="BD92" s="12"/>
      <c r="BE92" s="12"/>
      <c r="BF92" s="12"/>
      <c r="BG92" s="12"/>
      <c r="BH92" s="12"/>
      <c r="BI92" s="12"/>
      <c r="BJ92" s="12"/>
      <c r="BK92" s="12"/>
      <c r="BL92" s="12"/>
      <c r="BM92" s="12"/>
      <c r="BN92" s="12"/>
      <c r="BO92" s="12"/>
      <c r="BP92" s="12"/>
      <c r="BQ92" s="12"/>
      <c r="BR92" s="12"/>
      <c r="BS92" s="12"/>
      <c r="BT92" s="12"/>
      <c r="BU92" s="12"/>
      <c r="BV92" s="12"/>
    </row>
    <row r="93" spans="1:74" s="1097" customFormat="1" ht="18" customHeight="1" x14ac:dyDescent="0.4">
      <c r="A93" s="1096"/>
      <c r="B93" s="842" t="s">
        <v>89</v>
      </c>
      <c r="C93" s="867" t="s">
        <v>44</v>
      </c>
      <c r="D93" s="890"/>
      <c r="E93" s="11" t="s">
        <v>23</v>
      </c>
      <c r="F93" s="64"/>
      <c r="G93" s="10" t="s">
        <v>164</v>
      </c>
      <c r="H93" s="64"/>
      <c r="I93" s="23">
        <f>SUM(I94:I98)</f>
        <v>106.96396039244884</v>
      </c>
      <c r="J93" s="23">
        <f t="shared" ref="J93:AP93" si="30">SUM(J94:J98)</f>
        <v>101.46763104621546</v>
      </c>
      <c r="K93" s="23">
        <f t="shared" si="30"/>
        <v>93.841876661927941</v>
      </c>
      <c r="L93" s="23">
        <f t="shared" si="30"/>
        <v>89.835354764815705</v>
      </c>
      <c r="M93" s="23">
        <f t="shared" si="30"/>
        <v>87.452612088902413</v>
      </c>
      <c r="N93" s="23">
        <f t="shared" si="30"/>
        <v>86.707557763254925</v>
      </c>
      <c r="O93" s="23">
        <f t="shared" si="30"/>
        <v>97.029342910923944</v>
      </c>
      <c r="P93" s="23">
        <f t="shared" si="30"/>
        <v>94.759555954042355</v>
      </c>
      <c r="Q93" s="23">
        <f t="shared" si="30"/>
        <v>98.553908482515595</v>
      </c>
      <c r="R93" s="23">
        <f t="shared" si="30"/>
        <v>105.75813355192111</v>
      </c>
      <c r="S93" s="23">
        <f t="shared" si="30"/>
        <v>95.106172811241834</v>
      </c>
      <c r="T93" s="23">
        <f t="shared" si="30"/>
        <v>85.302769396621798</v>
      </c>
      <c r="U93" s="23">
        <f t="shared" si="30"/>
        <v>52.097016558157783</v>
      </c>
      <c r="V93" s="23">
        <f t="shared" si="30"/>
        <v>45.468457080036679</v>
      </c>
      <c r="W93" s="23">
        <f t="shared" si="30"/>
        <v>64.09472523868952</v>
      </c>
      <c r="X93" s="703">
        <f t="shared" si="30"/>
        <v>68.976268743386299</v>
      </c>
      <c r="Y93" s="23">
        <f t="shared" si="30"/>
        <v>77.484538119713775</v>
      </c>
      <c r="Z93" s="23">
        <f t="shared" si="30"/>
        <v>80.356223428686647</v>
      </c>
      <c r="AA93" s="23">
        <f t="shared" si="30"/>
        <v>76.130017446512696</v>
      </c>
      <c r="AB93" s="23">
        <f t="shared" si="30"/>
        <v>40.288078322304841</v>
      </c>
      <c r="AC93" s="23">
        <f t="shared" si="30"/>
        <v>23.998133184238569</v>
      </c>
      <c r="AD93" s="23">
        <f t="shared" si="30"/>
        <v>32.411248074443435</v>
      </c>
      <c r="AE93" s="23">
        <f t="shared" si="30"/>
        <v>15.038526546804635</v>
      </c>
      <c r="AF93" s="23">
        <f t="shared" si="30"/>
        <v>12.471878688701899</v>
      </c>
      <c r="AG93" s="23">
        <f t="shared" si="30"/>
        <v>12.455476441683132</v>
      </c>
      <c r="AH93" s="23">
        <f t="shared" si="30"/>
        <v>12.001986025660166</v>
      </c>
      <c r="AI93" s="23">
        <f t="shared" si="30"/>
        <v>11.789170517674668</v>
      </c>
      <c r="AJ93" s="23">
        <f t="shared" si="30"/>
        <v>12.872324790077332</v>
      </c>
      <c r="AK93" s="23">
        <f t="shared" si="30"/>
        <v>15.231296983943466</v>
      </c>
      <c r="AL93" s="23">
        <f t="shared" si="30"/>
        <v>12.926158840451199</v>
      </c>
      <c r="AM93" s="23">
        <f t="shared" si="30"/>
        <v>13.634141767828</v>
      </c>
      <c r="AN93" s="23">
        <f t="shared" si="30"/>
        <v>12.676412354743601</v>
      </c>
      <c r="AO93" s="23">
        <f t="shared" si="30"/>
        <v>12.239497419975798</v>
      </c>
      <c r="AP93" s="23">
        <f t="shared" si="30"/>
        <v>11.751427748984266</v>
      </c>
      <c r="AQ93" s="23">
        <f t="shared" ref="AQ93:AR93" si="31">SUM(AQ94:AQ98)</f>
        <v>11.954529201217335</v>
      </c>
      <c r="AR93" s="23">
        <f t="shared" si="31"/>
        <v>14.100085963613324</v>
      </c>
      <c r="AS93" s="12"/>
      <c r="AT93" s="12"/>
      <c r="AU93" s="12"/>
      <c r="AV93" s="12"/>
      <c r="AW93" s="689"/>
      <c r="AX93" s="12"/>
      <c r="AY93" s="12"/>
      <c r="AZ93" s="12"/>
      <c r="BA93" s="12"/>
      <c r="BB93" s="791"/>
      <c r="BC93" s="12"/>
      <c r="BD93" s="12"/>
      <c r="BE93" s="12"/>
      <c r="BF93" s="12"/>
      <c r="BG93" s="12"/>
      <c r="BH93" s="12"/>
      <c r="BI93" s="12"/>
      <c r="BJ93" s="12"/>
      <c r="BK93" s="12"/>
      <c r="BL93" s="12"/>
      <c r="BM93" s="12"/>
      <c r="BN93" s="12"/>
      <c r="BO93" s="12"/>
      <c r="BP93" s="12"/>
      <c r="BQ93" s="12"/>
      <c r="BR93" s="12"/>
      <c r="BS93" s="12"/>
      <c r="BT93" s="12"/>
      <c r="BU93" s="12"/>
      <c r="BV93" s="12"/>
    </row>
    <row r="94" spans="1:74" s="85" customFormat="1" ht="18" customHeight="1" x14ac:dyDescent="0.4">
      <c r="A94" s="860"/>
      <c r="B94" s="842" t="s">
        <v>52</v>
      </c>
      <c r="C94" s="867" t="s">
        <v>44</v>
      </c>
      <c r="D94" s="883"/>
      <c r="E94" s="31" t="s">
        <v>197</v>
      </c>
      <c r="F94" s="1017"/>
      <c r="G94" s="39" t="s">
        <v>171</v>
      </c>
      <c r="H94" s="1017"/>
      <c r="I94" s="31">
        <v>52.256339687250005</v>
      </c>
      <c r="J94" s="31">
        <v>48.627777945875003</v>
      </c>
      <c r="K94" s="31">
        <v>45.670125973500006</v>
      </c>
      <c r="L94" s="31">
        <v>39.654677162187504</v>
      </c>
      <c r="M94" s="31">
        <v>37.353068341500006</v>
      </c>
      <c r="N94" s="31">
        <v>37.842061164624994</v>
      </c>
      <c r="O94" s="31">
        <v>41.755640560312507</v>
      </c>
      <c r="P94" s="31">
        <v>46.51906850406251</v>
      </c>
      <c r="Q94" s="31">
        <v>54.358745967250002</v>
      </c>
      <c r="R94" s="31">
        <v>61.405246905937503</v>
      </c>
      <c r="S94" s="31">
        <v>65.449830021950021</v>
      </c>
      <c r="T94" s="31">
        <v>58.659445362750006</v>
      </c>
      <c r="U94" s="31">
        <v>39.313677956750006</v>
      </c>
      <c r="V94" s="31">
        <v>32.975809699750002</v>
      </c>
      <c r="W94" s="31">
        <v>50.813966560750004</v>
      </c>
      <c r="X94" s="706">
        <v>54.981288890000009</v>
      </c>
      <c r="Y94" s="31">
        <v>62.168088455000003</v>
      </c>
      <c r="Z94" s="31">
        <v>64.331651867560012</v>
      </c>
      <c r="AA94" s="31">
        <v>61.804693555000007</v>
      </c>
      <c r="AB94" s="31">
        <v>28.685283075320005</v>
      </c>
      <c r="AC94" s="31">
        <v>10.399972692080002</v>
      </c>
      <c r="AD94" s="31">
        <v>20.143580462280003</v>
      </c>
      <c r="AE94" s="177">
        <v>0.50936247647999999</v>
      </c>
      <c r="AF94" s="177">
        <v>0.55272388644000003</v>
      </c>
      <c r="AG94" s="177">
        <v>0.54749451240000002</v>
      </c>
      <c r="AH94" s="177">
        <v>0.71654013156000007</v>
      </c>
      <c r="AI94" s="177">
        <v>0.77397152472000008</v>
      </c>
      <c r="AJ94" s="177">
        <v>0.90232273404000007</v>
      </c>
      <c r="AK94" s="177">
        <v>0.90521219079999993</v>
      </c>
      <c r="AL94" s="177">
        <v>0.95699099012000011</v>
      </c>
      <c r="AM94" s="177">
        <v>0.89499845720000004</v>
      </c>
      <c r="AN94" s="177">
        <v>0.93069417912000008</v>
      </c>
      <c r="AO94" s="177">
        <v>0.93590011000000006</v>
      </c>
      <c r="AP94" s="177">
        <v>0.96926805625000012</v>
      </c>
      <c r="AQ94" s="177">
        <v>0.92359119375000009</v>
      </c>
      <c r="AR94" s="177">
        <v>0.88172608749999992</v>
      </c>
      <c r="AS94" s="12"/>
      <c r="AT94" s="12"/>
      <c r="AU94" s="12"/>
      <c r="AV94" s="12"/>
      <c r="AW94" s="689"/>
      <c r="AX94" s="12"/>
      <c r="AY94" s="12"/>
      <c r="AZ94" s="12"/>
      <c r="BA94" s="12"/>
      <c r="BB94" s="791"/>
      <c r="BC94" s="12"/>
      <c r="BD94" s="12"/>
      <c r="BE94" s="12"/>
      <c r="BF94" s="12"/>
      <c r="BG94" s="12"/>
      <c r="BH94" s="12"/>
      <c r="BI94" s="12"/>
      <c r="BJ94" s="12"/>
      <c r="BK94" s="12"/>
      <c r="BL94" s="12"/>
      <c r="BM94" s="12"/>
      <c r="BN94" s="12"/>
      <c r="BO94" s="12"/>
      <c r="BP94" s="12"/>
      <c r="BQ94" s="12"/>
      <c r="BR94" s="12"/>
      <c r="BS94" s="12"/>
      <c r="BT94" s="12"/>
      <c r="BU94" s="12"/>
      <c r="BV94" s="12"/>
    </row>
    <row r="95" spans="1:74" s="85" customFormat="1" ht="18" customHeight="1" x14ac:dyDescent="0.4">
      <c r="A95" s="860"/>
      <c r="B95" s="842" t="s">
        <v>53</v>
      </c>
      <c r="C95" s="867" t="s">
        <v>44</v>
      </c>
      <c r="D95" s="883"/>
      <c r="E95" s="31" t="s">
        <v>198</v>
      </c>
      <c r="F95" s="1017"/>
      <c r="G95" s="39" t="s">
        <v>172</v>
      </c>
      <c r="H95" s="1017"/>
      <c r="I95" s="31">
        <v>41.70030188679246</v>
      </c>
      <c r="J95" s="31">
        <v>40.327981132075472</v>
      </c>
      <c r="K95" s="31">
        <v>36.028622641509436</v>
      </c>
      <c r="L95" s="31">
        <v>37.871999999999993</v>
      </c>
      <c r="M95" s="31">
        <v>38.247415094339615</v>
      </c>
      <c r="N95" s="31">
        <v>36.495358490566034</v>
      </c>
      <c r="O95" s="31">
        <v>42.536811320754715</v>
      </c>
      <c r="P95" s="31">
        <v>35.574018867924522</v>
      </c>
      <c r="Q95" s="31">
        <v>31.03041509433962</v>
      </c>
      <c r="R95" s="31">
        <v>31.355952830188677</v>
      </c>
      <c r="S95" s="31">
        <v>16.333707547169812</v>
      </c>
      <c r="T95" s="31">
        <v>14.297971698113207</v>
      </c>
      <c r="U95" s="31">
        <v>0.45369811320754716</v>
      </c>
      <c r="V95" s="31">
        <v>0.47860377358490569</v>
      </c>
      <c r="W95" s="31">
        <v>0.38885584464161987</v>
      </c>
      <c r="X95" s="706">
        <v>0</v>
      </c>
      <c r="Y95" s="31">
        <v>0</v>
      </c>
      <c r="Z95" s="31">
        <v>0</v>
      </c>
      <c r="AA95" s="31">
        <v>0</v>
      </c>
      <c r="AB95" s="31">
        <v>0</v>
      </c>
      <c r="AC95" s="31">
        <v>0</v>
      </c>
      <c r="AD95" s="31">
        <v>0</v>
      </c>
      <c r="AE95" s="31">
        <v>0</v>
      </c>
      <c r="AF95" s="31">
        <v>0</v>
      </c>
      <c r="AG95" s="31">
        <v>0</v>
      </c>
      <c r="AH95" s="31">
        <v>0</v>
      </c>
      <c r="AI95" s="31">
        <v>0</v>
      </c>
      <c r="AJ95" s="31">
        <v>0</v>
      </c>
      <c r="AK95" s="31">
        <v>0</v>
      </c>
      <c r="AL95" s="31">
        <v>0</v>
      </c>
      <c r="AM95" s="31">
        <v>0</v>
      </c>
      <c r="AN95" s="31">
        <v>0</v>
      </c>
      <c r="AO95" s="31">
        <v>0</v>
      </c>
      <c r="AP95" s="31">
        <v>0</v>
      </c>
      <c r="AQ95" s="31">
        <v>0</v>
      </c>
      <c r="AR95" s="31">
        <v>0</v>
      </c>
      <c r="AS95" s="12"/>
      <c r="AT95" s="12"/>
      <c r="AU95" s="12"/>
      <c r="AV95" s="12"/>
      <c r="AW95" s="689"/>
      <c r="AX95" s="12"/>
      <c r="AY95" s="12"/>
      <c r="AZ95" s="12"/>
      <c r="BA95" s="12"/>
      <c r="BB95" s="791"/>
      <c r="BC95" s="12"/>
      <c r="BD95" s="12"/>
      <c r="BE95" s="12"/>
      <c r="BF95" s="12"/>
      <c r="BG95" s="12"/>
      <c r="BH95" s="12"/>
      <c r="BI95" s="12"/>
      <c r="BJ95" s="12"/>
      <c r="BK95" s="12"/>
      <c r="BL95" s="12"/>
      <c r="BM95" s="12"/>
      <c r="BN95" s="12"/>
      <c r="BO95" s="12"/>
      <c r="BP95" s="12"/>
      <c r="BQ95" s="12"/>
      <c r="BR95" s="12"/>
      <c r="BS95" s="12"/>
      <c r="BT95" s="12"/>
      <c r="BU95" s="12"/>
      <c r="BV95" s="12"/>
    </row>
    <row r="96" spans="1:74" s="85" customFormat="1" ht="18" customHeight="1" x14ac:dyDescent="0.4">
      <c r="A96" s="860"/>
      <c r="B96" s="842" t="s">
        <v>193</v>
      </c>
      <c r="C96" s="867" t="s">
        <v>44</v>
      </c>
      <c r="D96" s="883"/>
      <c r="E96" s="31" t="s">
        <v>199</v>
      </c>
      <c r="F96" s="1017"/>
      <c r="G96" s="39" t="s">
        <v>204</v>
      </c>
      <c r="H96" s="1017"/>
      <c r="I96" s="31">
        <v>0</v>
      </c>
      <c r="J96" s="31">
        <v>0</v>
      </c>
      <c r="K96" s="31">
        <v>0</v>
      </c>
      <c r="L96" s="31">
        <v>0</v>
      </c>
      <c r="M96" s="31">
        <v>0</v>
      </c>
      <c r="N96" s="31">
        <v>0</v>
      </c>
      <c r="O96" s="31">
        <v>0</v>
      </c>
      <c r="P96" s="31">
        <v>0</v>
      </c>
      <c r="Q96" s="31">
        <v>0</v>
      </c>
      <c r="R96" s="31">
        <v>0</v>
      </c>
      <c r="S96" s="31">
        <v>0</v>
      </c>
      <c r="T96" s="31">
        <v>0</v>
      </c>
      <c r="U96" s="31">
        <v>0</v>
      </c>
      <c r="V96" s="31">
        <v>0</v>
      </c>
      <c r="W96" s="31">
        <v>0</v>
      </c>
      <c r="X96" s="706">
        <v>0</v>
      </c>
      <c r="Y96" s="31">
        <v>0</v>
      </c>
      <c r="Z96" s="31">
        <v>0</v>
      </c>
      <c r="AA96" s="31">
        <v>0</v>
      </c>
      <c r="AB96" s="31">
        <v>0</v>
      </c>
      <c r="AC96" s="31">
        <v>0</v>
      </c>
      <c r="AD96" s="31">
        <v>0</v>
      </c>
      <c r="AE96" s="31">
        <v>0</v>
      </c>
      <c r="AF96" s="31">
        <v>0</v>
      </c>
      <c r="AG96" s="1098">
        <v>0.83360000000000001</v>
      </c>
      <c r="AH96" s="1098">
        <v>0.34439999999999998</v>
      </c>
      <c r="AI96" s="1098">
        <v>0.60743999999999998</v>
      </c>
      <c r="AJ96" s="31">
        <v>0</v>
      </c>
      <c r="AK96" s="31">
        <v>0</v>
      </c>
      <c r="AL96" s="31">
        <v>0</v>
      </c>
      <c r="AM96" s="31">
        <v>0</v>
      </c>
      <c r="AN96" s="31">
        <v>0</v>
      </c>
      <c r="AO96" s="31">
        <v>0</v>
      </c>
      <c r="AP96" s="31">
        <v>0</v>
      </c>
      <c r="AQ96" s="31">
        <v>0</v>
      </c>
      <c r="AR96" s="31">
        <v>0</v>
      </c>
      <c r="AS96" s="12"/>
      <c r="AT96" s="12"/>
      <c r="AU96" s="12"/>
      <c r="AV96" s="12"/>
      <c r="AW96" s="689"/>
      <c r="AX96" s="12"/>
      <c r="AY96" s="12"/>
      <c r="AZ96" s="12"/>
      <c r="BA96" s="12"/>
      <c r="BB96" s="791"/>
      <c r="BC96" s="12"/>
      <c r="BD96" s="12"/>
      <c r="BE96" s="12"/>
      <c r="BF96" s="12"/>
      <c r="BG96" s="12"/>
      <c r="BH96" s="12"/>
      <c r="BI96" s="12"/>
      <c r="BJ96" s="12"/>
      <c r="BK96" s="12"/>
      <c r="BL96" s="12"/>
      <c r="BM96" s="12"/>
      <c r="BN96" s="12"/>
      <c r="BO96" s="12"/>
      <c r="BP96" s="12"/>
      <c r="BQ96" s="12"/>
      <c r="BR96" s="12"/>
      <c r="BS96" s="12"/>
      <c r="BT96" s="12"/>
      <c r="BU96" s="12"/>
      <c r="BV96" s="12"/>
    </row>
    <row r="97" spans="1:74" s="85" customFormat="1" ht="18" customHeight="1" x14ac:dyDescent="0.4">
      <c r="A97" s="860"/>
      <c r="B97" s="842" t="s">
        <v>55</v>
      </c>
      <c r="C97" s="867" t="s">
        <v>44</v>
      </c>
      <c r="D97" s="883"/>
      <c r="E97" s="31" t="s">
        <v>200</v>
      </c>
      <c r="F97" s="1017"/>
      <c r="G97" s="39" t="s">
        <v>173</v>
      </c>
      <c r="H97" s="1017"/>
      <c r="I97" s="177">
        <v>6.4019213001393833</v>
      </c>
      <c r="J97" s="177">
        <v>6.2466935868679849</v>
      </c>
      <c r="K97" s="177">
        <v>6.3592213519645062</v>
      </c>
      <c r="L97" s="177">
        <v>6.6047358719532134</v>
      </c>
      <c r="M97" s="177">
        <v>6.5324368575908007</v>
      </c>
      <c r="N97" s="177">
        <v>7.0453433743808933</v>
      </c>
      <c r="O97" s="177">
        <v>7.0310535205967337</v>
      </c>
      <c r="P97" s="177">
        <v>6.9387952953003262</v>
      </c>
      <c r="Q97" s="177">
        <v>7.3039044149549683</v>
      </c>
      <c r="R97" s="177">
        <v>6.9811987984639305</v>
      </c>
      <c r="S97" s="177">
        <v>7.522859026553002</v>
      </c>
      <c r="T97" s="177">
        <v>6.7622107908755797</v>
      </c>
      <c r="U97" s="177">
        <v>7.0320132627862328</v>
      </c>
      <c r="V97" s="177">
        <v>6.7521505801357664</v>
      </c>
      <c r="W97" s="177">
        <v>7.8608966562709002</v>
      </c>
      <c r="X97" s="1112">
        <v>7.8700298019892987</v>
      </c>
      <c r="Y97" s="177">
        <v>8.8565548423157665</v>
      </c>
      <c r="Z97" s="177">
        <v>8.8517913355626341</v>
      </c>
      <c r="AA97" s="177">
        <v>7.5182796615596992</v>
      </c>
      <c r="AB97" s="177">
        <v>5.2150870769818329</v>
      </c>
      <c r="AC97" s="177">
        <v>5.2761526340845659</v>
      </c>
      <c r="AD97" s="177">
        <v>5.5187336153484328</v>
      </c>
      <c r="AE97" s="177">
        <v>5.4875992444566339</v>
      </c>
      <c r="AF97" s="177">
        <v>5.4839931382782323</v>
      </c>
      <c r="AG97" s="177">
        <v>5.7260529725021323</v>
      </c>
      <c r="AH97" s="177">
        <v>6.3744914764116665</v>
      </c>
      <c r="AI97" s="177">
        <v>6.6426522166326674</v>
      </c>
      <c r="AJ97" s="177">
        <v>6.9546323209623333</v>
      </c>
      <c r="AK97" s="177">
        <v>7.625246808796466</v>
      </c>
      <c r="AL97" s="177">
        <v>7.0866797453561992</v>
      </c>
      <c r="AM97" s="177">
        <v>6.9280514305200001</v>
      </c>
      <c r="AN97" s="177">
        <v>6.7463205669375998</v>
      </c>
      <c r="AO97" s="177">
        <v>7.005862703056799</v>
      </c>
      <c r="AP97" s="177">
        <v>6.997242945846267</v>
      </c>
      <c r="AQ97" s="177">
        <v>7.4545103822933338</v>
      </c>
      <c r="AR97" s="177">
        <v>7.698484772075326</v>
      </c>
      <c r="AS97" s="12"/>
      <c r="AT97" s="12"/>
      <c r="AU97" s="12"/>
      <c r="AV97" s="12"/>
      <c r="AW97" s="689"/>
      <c r="AX97" s="12"/>
      <c r="AY97" s="12"/>
      <c r="AZ97" s="12"/>
      <c r="BA97" s="12"/>
      <c r="BB97" s="791"/>
      <c r="BC97" s="12"/>
      <c r="BD97" s="12"/>
      <c r="BE97" s="12"/>
      <c r="BF97" s="12"/>
      <c r="BG97" s="12"/>
      <c r="BH97" s="12"/>
      <c r="BI97" s="12"/>
      <c r="BJ97" s="12"/>
      <c r="BK97" s="12"/>
      <c r="BL97" s="12"/>
      <c r="BM97" s="12"/>
      <c r="BN97" s="12"/>
      <c r="BO97" s="12"/>
      <c r="BP97" s="12"/>
      <c r="BQ97" s="12"/>
      <c r="BR97" s="12"/>
      <c r="BS97" s="12"/>
      <c r="BT97" s="12"/>
      <c r="BU97" s="12"/>
      <c r="BV97" s="12"/>
    </row>
    <row r="98" spans="1:74" s="85" customFormat="1" ht="18" customHeight="1" x14ac:dyDescent="0.4">
      <c r="A98" s="860"/>
      <c r="B98" s="842" t="s">
        <v>57</v>
      </c>
      <c r="C98" s="867" t="s">
        <v>44</v>
      </c>
      <c r="D98" s="883"/>
      <c r="E98" s="31" t="s">
        <v>354</v>
      </c>
      <c r="F98" s="1017"/>
      <c r="G98" s="39" t="s">
        <v>353</v>
      </c>
      <c r="H98" s="1017"/>
      <c r="I98" s="177">
        <v>6.6053975182669991</v>
      </c>
      <c r="J98" s="177">
        <v>6.265178381396999</v>
      </c>
      <c r="K98" s="177">
        <v>5.7839066949539992</v>
      </c>
      <c r="L98" s="177">
        <v>5.7039417306749991</v>
      </c>
      <c r="M98" s="177">
        <v>5.319691795472</v>
      </c>
      <c r="N98" s="177">
        <v>5.3247947336829995</v>
      </c>
      <c r="O98" s="177">
        <v>5.7058375092599993</v>
      </c>
      <c r="P98" s="177">
        <v>5.7276732867549995</v>
      </c>
      <c r="Q98" s="177">
        <v>5.8608430059709997</v>
      </c>
      <c r="R98" s="177">
        <v>6.015735017331</v>
      </c>
      <c r="S98" s="177">
        <v>5.7997762155690005</v>
      </c>
      <c r="T98" s="177">
        <v>5.5831415448829995</v>
      </c>
      <c r="U98" s="177">
        <v>5.2976272254139998</v>
      </c>
      <c r="V98" s="177">
        <v>5.2618930265659998</v>
      </c>
      <c r="W98" s="177">
        <v>5.0310061770269989</v>
      </c>
      <c r="X98" s="1112">
        <v>6.1249500513970005</v>
      </c>
      <c r="Y98" s="177">
        <v>6.4598948223980006</v>
      </c>
      <c r="Z98" s="177">
        <v>7.1727802255639999</v>
      </c>
      <c r="AA98" s="177">
        <v>6.8070442299529992</v>
      </c>
      <c r="AB98" s="177">
        <v>6.3877081700029992</v>
      </c>
      <c r="AC98" s="177">
        <v>8.3220078580740005</v>
      </c>
      <c r="AD98" s="177">
        <v>6.7489339968150004</v>
      </c>
      <c r="AE98" s="177">
        <v>9.0415648258680008</v>
      </c>
      <c r="AF98" s="177">
        <v>6.4351616639836671</v>
      </c>
      <c r="AG98" s="177">
        <v>5.3483289567809997</v>
      </c>
      <c r="AH98" s="177">
        <v>4.5665544176885007</v>
      </c>
      <c r="AI98" s="177">
        <v>3.7651067763219999</v>
      </c>
      <c r="AJ98" s="177">
        <v>5.0153697350749997</v>
      </c>
      <c r="AK98" s="177">
        <v>6.7008379843470003</v>
      </c>
      <c r="AL98" s="177">
        <v>4.8824881049749997</v>
      </c>
      <c r="AM98" s="177">
        <v>5.811091880108</v>
      </c>
      <c r="AN98" s="177">
        <v>4.9993976086860004</v>
      </c>
      <c r="AO98" s="177">
        <v>4.2977346069189988</v>
      </c>
      <c r="AP98" s="177">
        <v>3.7849167468879998</v>
      </c>
      <c r="AQ98" s="177">
        <v>3.5764276251740004</v>
      </c>
      <c r="AR98" s="177">
        <v>5.5198751040379994</v>
      </c>
      <c r="AS98" s="12"/>
      <c r="AT98" s="12"/>
      <c r="AU98" s="12"/>
      <c r="AV98" s="12"/>
      <c r="AW98" s="689"/>
      <c r="AX98" s="12"/>
      <c r="AY98" s="12"/>
      <c r="AZ98" s="12"/>
      <c r="BA98" s="12"/>
      <c r="BB98" s="791"/>
      <c r="BC98" s="12"/>
      <c r="BD98" s="12"/>
      <c r="BE98" s="12"/>
      <c r="BF98" s="12"/>
      <c r="BG98" s="12"/>
      <c r="BH98" s="12"/>
      <c r="BI98" s="12"/>
      <c r="BJ98" s="12"/>
      <c r="BK98" s="12"/>
      <c r="BL98" s="12"/>
      <c r="BM98" s="12"/>
      <c r="BN98" s="12"/>
      <c r="BO98" s="12"/>
      <c r="BP98" s="12"/>
      <c r="BQ98" s="12"/>
      <c r="BR98" s="12"/>
      <c r="BS98" s="12"/>
      <c r="BT98" s="12"/>
      <c r="BU98" s="12"/>
      <c r="BV98" s="12"/>
    </row>
    <row r="99" spans="1:74" s="63" customFormat="1" ht="18" customHeight="1" x14ac:dyDescent="0.4">
      <c r="A99" s="861"/>
      <c r="B99" s="842" t="s">
        <v>39</v>
      </c>
      <c r="C99" s="867" t="s">
        <v>44</v>
      </c>
      <c r="D99" s="889"/>
      <c r="E99" s="25" t="s">
        <v>117</v>
      </c>
      <c r="F99" s="89"/>
      <c r="G99" s="13"/>
      <c r="H99" s="89"/>
      <c r="I99" s="14">
        <v>902.17458910714197</v>
      </c>
      <c r="J99" s="14">
        <v>790.18127140287231</v>
      </c>
      <c r="K99" s="14">
        <v>584.15222239679724</v>
      </c>
      <c r="L99" s="14">
        <v>550.7848345271932</v>
      </c>
      <c r="M99" s="14">
        <v>520.03459086129692</v>
      </c>
      <c r="N99" s="14">
        <v>552.1678537309308</v>
      </c>
      <c r="O99" s="14">
        <v>529.28161016701472</v>
      </c>
      <c r="P99" s="14">
        <v>648.19719934989917</v>
      </c>
      <c r="Q99" s="14">
        <v>784.60633831389009</v>
      </c>
      <c r="R99" s="14">
        <v>938.5062912021549</v>
      </c>
      <c r="S99" s="14">
        <v>991.47158545317484</v>
      </c>
      <c r="T99" s="14">
        <v>990.79627547336463</v>
      </c>
      <c r="U99" s="14">
        <v>978.77057810197562</v>
      </c>
      <c r="V99" s="14">
        <v>966.6009956358339</v>
      </c>
      <c r="W99" s="14">
        <v>974.99171819265291</v>
      </c>
      <c r="X99" s="691">
        <v>950.90232785951855</v>
      </c>
      <c r="Y99" s="14">
        <v>1395.0262935624601</v>
      </c>
      <c r="Z99" s="14">
        <v>1539.6059268566282</v>
      </c>
      <c r="AA99" s="14">
        <v>2050.4447071488785</v>
      </c>
      <c r="AB99" s="14">
        <v>1865.8440859449915</v>
      </c>
      <c r="AC99" s="14">
        <v>1895.0958048109242</v>
      </c>
      <c r="AD99" s="14">
        <v>1825.4672934305706</v>
      </c>
      <c r="AE99" s="14">
        <v>1893.7085129664042</v>
      </c>
      <c r="AF99" s="14">
        <v>1942.1100012886952</v>
      </c>
      <c r="AG99" s="14">
        <v>1916.9291382499221</v>
      </c>
      <c r="AH99" s="14">
        <v>1965.8424838829117</v>
      </c>
      <c r="AI99" s="14">
        <v>1948.0324020698779</v>
      </c>
      <c r="AJ99" s="14">
        <v>1994.8429166004598</v>
      </c>
      <c r="AK99" s="14">
        <v>2036.0201927630585</v>
      </c>
      <c r="AL99" s="14">
        <v>1988.0646589422433</v>
      </c>
      <c r="AM99" s="14">
        <v>1959.3409732447417</v>
      </c>
      <c r="AN99" s="14">
        <v>1996.6942534241873</v>
      </c>
      <c r="AO99" s="14">
        <v>2017.4008726168163</v>
      </c>
      <c r="AP99" s="14">
        <v>1947.1864178683536</v>
      </c>
      <c r="AQ99" s="14">
        <v>2007.4699648227324</v>
      </c>
      <c r="AR99" s="14">
        <v>1794.4196472392562</v>
      </c>
      <c r="AS99" s="12"/>
      <c r="AT99" s="12"/>
      <c r="AU99" s="12"/>
      <c r="AV99" s="12"/>
      <c r="AW99" s="689"/>
      <c r="AX99" s="12"/>
      <c r="AY99" s="12"/>
      <c r="AZ99" s="12"/>
      <c r="BA99" s="12"/>
      <c r="BB99" s="791"/>
      <c r="BC99" s="12"/>
      <c r="BD99" s="12"/>
      <c r="BE99" s="12"/>
      <c r="BF99" s="12"/>
      <c r="BG99" s="12"/>
      <c r="BH99" s="12"/>
      <c r="BI99" s="12"/>
      <c r="BJ99" s="12"/>
      <c r="BK99" s="12"/>
      <c r="BL99" s="12"/>
      <c r="BM99" s="12"/>
      <c r="BN99" s="12"/>
      <c r="BO99" s="12"/>
      <c r="BP99" s="12"/>
      <c r="BQ99" s="12"/>
      <c r="BR99" s="12"/>
      <c r="BS99" s="12"/>
      <c r="BT99" s="12"/>
      <c r="BU99" s="12"/>
      <c r="BV99" s="12"/>
    </row>
    <row r="100" spans="1:74" s="63" customFormat="1" x14ac:dyDescent="0.4">
      <c r="A100" s="861"/>
      <c r="B100" s="848"/>
      <c r="C100" s="867"/>
      <c r="D100" s="891"/>
      <c r="E100" s="35"/>
      <c r="F100" s="90"/>
      <c r="G100" s="34"/>
      <c r="H100" s="90"/>
      <c r="I100" s="1048"/>
      <c r="J100" s="1048"/>
      <c r="K100" s="1048"/>
      <c r="L100" s="1048"/>
      <c r="M100" s="1048"/>
      <c r="N100" s="1048"/>
      <c r="O100" s="1048"/>
      <c r="P100" s="1048"/>
      <c r="Q100" s="1048"/>
      <c r="R100" s="1048"/>
      <c r="S100" s="1048"/>
      <c r="T100" s="1048"/>
      <c r="U100" s="35"/>
      <c r="V100" s="35"/>
      <c r="W100" s="35"/>
      <c r="X100" s="82"/>
      <c r="Y100" s="35"/>
      <c r="Z100" s="35"/>
      <c r="AA100" s="35"/>
      <c r="AB100" s="35"/>
      <c r="AC100" s="35"/>
      <c r="AD100" s="35"/>
      <c r="AE100" s="35"/>
      <c r="AF100" s="35"/>
      <c r="AG100" s="35"/>
      <c r="AH100" s="35"/>
      <c r="AI100" s="35"/>
      <c r="AJ100" s="35"/>
      <c r="AK100" s="35"/>
      <c r="AL100" s="35"/>
      <c r="AM100" s="35"/>
      <c r="AN100" s="35"/>
      <c r="AO100" s="35"/>
      <c r="AP100" s="35"/>
      <c r="AQ100" s="35"/>
      <c r="AW100" s="621"/>
      <c r="BB100" s="621"/>
    </row>
    <row r="101" spans="1:74" s="762" customFormat="1" x14ac:dyDescent="0.4">
      <c r="A101" s="854"/>
      <c r="B101" s="837"/>
      <c r="C101" s="871" t="s">
        <v>44</v>
      </c>
      <c r="D101" s="884"/>
      <c r="E101" s="768" t="str">
        <f>$E$14</f>
        <v>Losunarspá: Sviðsmynd byggð á aðgerðum stjórnvalda</v>
      </c>
      <c r="F101" s="768"/>
      <c r="G101" s="768" t="str">
        <f>$G$14</f>
        <v>Emission Projections: Government Policy-Based Scenario</v>
      </c>
      <c r="H101" s="768"/>
      <c r="I101" s="761"/>
      <c r="J101" s="762" t="s">
        <v>44</v>
      </c>
      <c r="K101" s="763"/>
      <c r="L101" s="764"/>
      <c r="M101" s="765"/>
      <c r="N101" s="763"/>
      <c r="O101" s="763"/>
      <c r="P101" s="763"/>
      <c r="Q101" s="763"/>
      <c r="R101" s="763"/>
      <c r="S101" s="763"/>
      <c r="T101" s="763"/>
      <c r="U101" s="763"/>
      <c r="V101" s="763"/>
      <c r="W101" s="763"/>
      <c r="X101" s="1074"/>
      <c r="Y101" s="763"/>
      <c r="Z101" s="763"/>
      <c r="AA101" s="763"/>
      <c r="AB101" s="763"/>
      <c r="AC101" s="763"/>
      <c r="AD101" s="763"/>
      <c r="AE101" s="763"/>
      <c r="AF101" s="763"/>
      <c r="AG101" s="763"/>
      <c r="AH101" s="763"/>
      <c r="AI101" s="763"/>
      <c r="AJ101" s="763"/>
      <c r="AK101" s="763"/>
      <c r="AL101" s="763"/>
      <c r="AM101" s="763"/>
      <c r="AN101" s="763"/>
      <c r="AO101" s="763"/>
      <c r="AP101" s="763"/>
      <c r="AQ101" s="983"/>
      <c r="AR101" s="986"/>
      <c r="AS101" s="766"/>
      <c r="AT101" s="766"/>
      <c r="AU101" s="766"/>
      <c r="AV101" s="766"/>
      <c r="AW101" s="767"/>
      <c r="AX101" s="766"/>
      <c r="AY101" s="766"/>
      <c r="AZ101" s="766"/>
      <c r="BA101" s="766"/>
      <c r="BB101" s="790"/>
      <c r="BC101" s="766"/>
      <c r="BD101" s="766"/>
      <c r="BE101" s="766"/>
      <c r="BF101" s="766"/>
      <c r="BG101" s="766"/>
      <c r="BH101" s="766"/>
      <c r="BI101" s="766"/>
      <c r="BJ101" s="766"/>
      <c r="BK101" s="766"/>
      <c r="BL101" s="766"/>
      <c r="BM101" s="766"/>
      <c r="BN101" s="766"/>
      <c r="BO101" s="766"/>
      <c r="BP101" s="766"/>
      <c r="BQ101" s="766"/>
      <c r="BR101" s="766"/>
      <c r="BS101" s="766"/>
      <c r="BT101" s="766"/>
      <c r="BU101" s="766"/>
      <c r="BV101" s="766"/>
    </row>
    <row r="102" spans="1:74" s="68" customFormat="1" ht="18" customHeight="1" x14ac:dyDescent="0.4">
      <c r="A102" s="859"/>
      <c r="B102" s="842" t="s">
        <v>54</v>
      </c>
      <c r="C102" s="866" t="str">
        <f t="shared" ref="C102:C110" si="32">B102&amp;" "&amp;D102</f>
        <v>2.C.3 Aluminium productionkt CO2-eq WEM</v>
      </c>
      <c r="D102" s="891" t="s">
        <v>377</v>
      </c>
      <c r="E102" s="11" t="s">
        <v>15</v>
      </c>
      <c r="F102" s="64"/>
      <c r="G102" s="10" t="s">
        <v>136</v>
      </c>
      <c r="H102" s="64"/>
      <c r="I102" s="12"/>
      <c r="J102" s="12"/>
      <c r="K102" s="12"/>
      <c r="L102" s="12"/>
      <c r="M102" s="12"/>
      <c r="N102" s="12"/>
      <c r="O102" s="12"/>
      <c r="P102" s="12"/>
      <c r="Q102" s="12"/>
      <c r="R102" s="12"/>
      <c r="S102" s="12"/>
      <c r="T102" s="12"/>
      <c r="U102" s="12"/>
      <c r="V102" s="12"/>
      <c r="W102" s="12"/>
      <c r="X102" s="791"/>
      <c r="Y102" s="12"/>
      <c r="Z102" s="12"/>
      <c r="AA102" s="12"/>
      <c r="AB102" s="12"/>
      <c r="AC102" s="12"/>
      <c r="AD102" s="12"/>
      <c r="AE102" s="12"/>
      <c r="AF102" s="12"/>
      <c r="AG102" s="12"/>
      <c r="AH102" s="12"/>
      <c r="AI102" s="12"/>
      <c r="AJ102" s="12"/>
      <c r="AK102" s="12"/>
      <c r="AL102" s="12"/>
      <c r="AM102" s="12"/>
      <c r="AN102" s="12"/>
      <c r="AO102" s="12"/>
      <c r="AP102" s="168"/>
      <c r="AQ102" s="984"/>
      <c r="AR102" s="168"/>
      <c r="AS102" s="23">
        <v>1246.820327272565</v>
      </c>
      <c r="AT102" s="23">
        <v>1412.5180788347268</v>
      </c>
      <c r="AU102" s="23">
        <v>1419.7273783627891</v>
      </c>
      <c r="AV102" s="23">
        <v>1418.760131343824</v>
      </c>
      <c r="AW102" s="1049">
        <v>1419.1090267641018</v>
      </c>
      <c r="AX102" s="23">
        <v>1419.2819575376309</v>
      </c>
      <c r="AY102" s="23">
        <v>1420.3392623547343</v>
      </c>
      <c r="AZ102" s="23">
        <v>1419.6308529579089</v>
      </c>
      <c r="BA102" s="23">
        <v>1419.8053006680477</v>
      </c>
      <c r="BB102" s="703">
        <v>1419.8053006680477</v>
      </c>
      <c r="BC102" s="23">
        <v>1424.9507496488432</v>
      </c>
      <c r="BD102" s="23">
        <v>1424.0557570489998</v>
      </c>
      <c r="BE102" s="23">
        <v>1424.0557570489998</v>
      </c>
      <c r="BF102" s="23">
        <v>1424.0557570489998</v>
      </c>
      <c r="BG102" s="23">
        <v>1424.9507496488432</v>
      </c>
      <c r="BH102" s="23">
        <v>1424.0557570489998</v>
      </c>
      <c r="BI102" s="23">
        <v>1424.0557570489998</v>
      </c>
      <c r="BJ102" s="23">
        <v>1424.0557570489998</v>
      </c>
      <c r="BK102" s="23">
        <v>1424.9507496488432</v>
      </c>
      <c r="BL102" s="23">
        <v>1424.0557570489998</v>
      </c>
      <c r="BM102" s="23">
        <v>1424.0557570489998</v>
      </c>
      <c r="BN102" s="23">
        <v>1424.0557570489998</v>
      </c>
      <c r="BO102" s="23">
        <v>1424.9507496488432</v>
      </c>
      <c r="BP102" s="23">
        <v>1424.0557570489998</v>
      </c>
      <c r="BQ102" s="23">
        <v>1424.0557570489998</v>
      </c>
      <c r="BR102" s="23">
        <v>1424.0557570489998</v>
      </c>
      <c r="BS102" s="23">
        <v>1424.9507496488432</v>
      </c>
      <c r="BT102" s="23">
        <v>1424.0557570489998</v>
      </c>
      <c r="BU102" s="23">
        <v>1424.0557570489998</v>
      </c>
      <c r="BV102" s="23">
        <v>1424.0557570489998</v>
      </c>
    </row>
    <row r="103" spans="1:74" s="68" customFormat="1" ht="18" customHeight="1" x14ac:dyDescent="0.4">
      <c r="A103" s="859"/>
      <c r="B103" s="842" t="s">
        <v>192</v>
      </c>
      <c r="C103" s="866" t="str">
        <f t="shared" si="32"/>
        <v>2.C.2 Ferroalloys productionkt CO2-eq WEM</v>
      </c>
      <c r="D103" s="891" t="s">
        <v>377</v>
      </c>
      <c r="E103" s="11" t="s">
        <v>35</v>
      </c>
      <c r="F103" s="64"/>
      <c r="G103" s="10" t="s">
        <v>137</v>
      </c>
      <c r="H103" s="64"/>
      <c r="I103" s="12"/>
      <c r="J103" s="12"/>
      <c r="K103" s="12"/>
      <c r="L103" s="12"/>
      <c r="M103" s="12"/>
      <c r="N103" s="12"/>
      <c r="O103" s="12"/>
      <c r="P103" s="12"/>
      <c r="Q103" s="12"/>
      <c r="R103" s="12"/>
      <c r="S103" s="12"/>
      <c r="T103" s="12"/>
      <c r="U103" s="12"/>
      <c r="V103" s="12"/>
      <c r="W103" s="12"/>
      <c r="X103" s="791"/>
      <c r="Y103" s="12"/>
      <c r="Z103" s="12"/>
      <c r="AA103" s="12"/>
      <c r="AB103" s="12"/>
      <c r="AC103" s="12"/>
      <c r="AD103" s="12"/>
      <c r="AE103" s="12"/>
      <c r="AF103" s="12"/>
      <c r="AG103" s="12"/>
      <c r="AH103" s="12"/>
      <c r="AI103" s="12"/>
      <c r="AJ103" s="12"/>
      <c r="AK103" s="12"/>
      <c r="AL103" s="12"/>
      <c r="AM103" s="12"/>
      <c r="AN103" s="12"/>
      <c r="AO103" s="12"/>
      <c r="AP103" s="168"/>
      <c r="AQ103" s="168"/>
      <c r="AR103" s="168">
        <f t="shared" ref="AR103:AR111" si="33">AR91</f>
        <v>384.34514535840748</v>
      </c>
      <c r="AS103" s="23">
        <v>391.52482780919246</v>
      </c>
      <c r="AT103" s="23">
        <v>498.96348623655501</v>
      </c>
      <c r="AU103" s="23">
        <v>502.28647226886665</v>
      </c>
      <c r="AV103" s="23">
        <v>502.28647226886665</v>
      </c>
      <c r="AW103" s="1049">
        <v>502.28647226886665</v>
      </c>
      <c r="AX103" s="23">
        <v>502.28647226886665</v>
      </c>
      <c r="AY103" s="23">
        <v>502.28647226886665</v>
      </c>
      <c r="AZ103" s="23">
        <v>502.28647226886665</v>
      </c>
      <c r="BA103" s="23">
        <v>502.28647226886665</v>
      </c>
      <c r="BB103" s="703">
        <v>502.28647226886665</v>
      </c>
      <c r="BC103" s="23">
        <v>502.28647226886665</v>
      </c>
      <c r="BD103" s="23">
        <v>502.28647226886665</v>
      </c>
      <c r="BE103" s="23">
        <v>502.28647226886665</v>
      </c>
      <c r="BF103" s="23">
        <v>502.28647226886665</v>
      </c>
      <c r="BG103" s="23">
        <v>502.28647226886665</v>
      </c>
      <c r="BH103" s="23">
        <v>502.28647226886665</v>
      </c>
      <c r="BI103" s="23">
        <v>502.28647226886665</v>
      </c>
      <c r="BJ103" s="23">
        <v>502.28647226886665</v>
      </c>
      <c r="BK103" s="23">
        <v>502.28647226886665</v>
      </c>
      <c r="BL103" s="23">
        <v>502.28647226886665</v>
      </c>
      <c r="BM103" s="23">
        <v>502.28647226886665</v>
      </c>
      <c r="BN103" s="23">
        <v>502.28647226886665</v>
      </c>
      <c r="BO103" s="23">
        <v>502.28647226886665</v>
      </c>
      <c r="BP103" s="23">
        <v>502.28647226886665</v>
      </c>
      <c r="BQ103" s="23">
        <v>502.28647226886665</v>
      </c>
      <c r="BR103" s="23">
        <v>502.28647226886665</v>
      </c>
      <c r="BS103" s="23">
        <v>502.28647226886665</v>
      </c>
      <c r="BT103" s="23">
        <v>502.28647226886665</v>
      </c>
      <c r="BU103" s="23">
        <v>502.28647226886665</v>
      </c>
      <c r="BV103" s="23">
        <v>502.28647226886665</v>
      </c>
    </row>
    <row r="104" spans="1:74" s="68" customFormat="1" ht="18" customHeight="1" x14ac:dyDescent="0.4">
      <c r="A104" s="859"/>
      <c r="B104" s="842" t="s">
        <v>56</v>
      </c>
      <c r="C104" s="866" t="str">
        <f t="shared" si="32"/>
        <v>2.F Product uses as substitutes for ODSkt CO2-eq WEM</v>
      </c>
      <c r="D104" s="891" t="s">
        <v>377</v>
      </c>
      <c r="E104" s="11" t="s">
        <v>16</v>
      </c>
      <c r="F104" s="64"/>
      <c r="G104" s="10" t="s">
        <v>119</v>
      </c>
      <c r="H104" s="64"/>
      <c r="I104" s="12"/>
      <c r="J104" s="12"/>
      <c r="K104" s="12"/>
      <c r="L104" s="12"/>
      <c r="M104" s="12"/>
      <c r="N104" s="12"/>
      <c r="O104" s="12"/>
      <c r="P104" s="12"/>
      <c r="Q104" s="12"/>
      <c r="R104" s="12"/>
      <c r="S104" s="12"/>
      <c r="T104" s="12"/>
      <c r="U104" s="12"/>
      <c r="V104" s="12"/>
      <c r="W104" s="12"/>
      <c r="X104" s="791"/>
      <c r="Y104" s="12"/>
      <c r="Z104" s="12"/>
      <c r="AA104" s="12"/>
      <c r="AB104" s="12"/>
      <c r="AC104" s="12"/>
      <c r="AD104" s="12"/>
      <c r="AE104" s="12"/>
      <c r="AF104" s="12"/>
      <c r="AG104" s="12"/>
      <c r="AH104" s="12"/>
      <c r="AI104" s="12"/>
      <c r="AJ104" s="12"/>
      <c r="AK104" s="12"/>
      <c r="AL104" s="12"/>
      <c r="AM104" s="12"/>
      <c r="AN104" s="12"/>
      <c r="AO104" s="12"/>
      <c r="AP104" s="168"/>
      <c r="AQ104" s="168"/>
      <c r="AR104" s="168">
        <f t="shared" si="33"/>
        <v>105.65811164441938</v>
      </c>
      <c r="AS104" s="23">
        <v>83.939356753838709</v>
      </c>
      <c r="AT104" s="23">
        <v>89.415585047430667</v>
      </c>
      <c r="AU104" s="23">
        <v>43.40472654430534</v>
      </c>
      <c r="AV104" s="23">
        <v>28.595701920471573</v>
      </c>
      <c r="AW104" s="1049">
        <v>35.0234903160204</v>
      </c>
      <c r="AX104" s="23">
        <v>17.253346767164082</v>
      </c>
      <c r="AY104" s="23">
        <v>18.009768312055179</v>
      </c>
      <c r="AZ104" s="23">
        <v>24.723980294032209</v>
      </c>
      <c r="BA104" s="23">
        <v>14.28694724185282</v>
      </c>
      <c r="BB104" s="703">
        <v>8.928626854732892</v>
      </c>
      <c r="BC104" s="23">
        <v>9.4331922594709194</v>
      </c>
      <c r="BD104" s="23">
        <v>9.5333161155516493</v>
      </c>
      <c r="BE104" s="23">
        <v>9.5715916183487302</v>
      </c>
      <c r="BF104" s="23">
        <v>9.9802058863014569</v>
      </c>
      <c r="BG104" s="23">
        <v>10.355069313046386</v>
      </c>
      <c r="BH104" s="23">
        <v>10.708405895263525</v>
      </c>
      <c r="BI104" s="23">
        <v>10.805327528923454</v>
      </c>
      <c r="BJ104" s="23">
        <v>10.913704570280276</v>
      </c>
      <c r="BK104" s="23">
        <v>10.997738385977007</v>
      </c>
      <c r="BL104" s="23">
        <v>11.06138423454213</v>
      </c>
      <c r="BM104" s="23">
        <v>11.190983630440373</v>
      </c>
      <c r="BN104" s="23">
        <v>11.51212490345165</v>
      </c>
      <c r="BO104" s="23">
        <v>11.29416127575184</v>
      </c>
      <c r="BP104" s="23">
        <v>11.200240169565182</v>
      </c>
      <c r="BQ104" s="23">
        <v>11.197445895681135</v>
      </c>
      <c r="BR104" s="23">
        <v>11.042578034809972</v>
      </c>
      <c r="BS104" s="23">
        <v>10.912000717167739</v>
      </c>
      <c r="BT104" s="23">
        <v>10.818690929789394</v>
      </c>
      <c r="BU104" s="23">
        <v>10.774930000739039</v>
      </c>
      <c r="BV104" s="23">
        <v>10.767865370664548</v>
      </c>
    </row>
    <row r="105" spans="1:74" s="1097" customFormat="1" ht="18" customHeight="1" x14ac:dyDescent="0.4">
      <c r="A105" s="1096"/>
      <c r="B105" s="842" t="s">
        <v>89</v>
      </c>
      <c r="C105" s="866" t="str">
        <f t="shared" si="32"/>
        <v>2 IPPU OTHER kt CO2e WEM</v>
      </c>
      <c r="D105" s="891" t="s">
        <v>377</v>
      </c>
      <c r="E105" s="11" t="s">
        <v>23</v>
      </c>
      <c r="F105" s="64"/>
      <c r="G105" s="10" t="s">
        <v>164</v>
      </c>
      <c r="H105" s="64"/>
      <c r="I105" s="12"/>
      <c r="J105" s="12"/>
      <c r="K105" s="12"/>
      <c r="L105" s="12"/>
      <c r="M105" s="12"/>
      <c r="N105" s="12"/>
      <c r="O105" s="12"/>
      <c r="P105" s="12"/>
      <c r="Q105" s="12"/>
      <c r="R105" s="12"/>
      <c r="S105" s="12"/>
      <c r="T105" s="12"/>
      <c r="U105" s="12"/>
      <c r="V105" s="12"/>
      <c r="W105" s="12"/>
      <c r="X105" s="791"/>
      <c r="Y105" s="12"/>
      <c r="Z105" s="12"/>
      <c r="AA105" s="12"/>
      <c r="AB105" s="12"/>
      <c r="AC105" s="12"/>
      <c r="AD105" s="12"/>
      <c r="AE105" s="12"/>
      <c r="AF105" s="12"/>
      <c r="AG105" s="12"/>
      <c r="AH105" s="12"/>
      <c r="AI105" s="12"/>
      <c r="AJ105" s="12"/>
      <c r="AK105" s="12"/>
      <c r="AL105" s="12"/>
      <c r="AM105" s="12"/>
      <c r="AN105" s="12"/>
      <c r="AO105" s="12"/>
      <c r="AP105" s="168"/>
      <c r="AQ105" s="168"/>
      <c r="AR105" s="168">
        <f t="shared" si="33"/>
        <v>14.100085963613324</v>
      </c>
      <c r="AS105" s="23">
        <f t="shared" ref="AS105:BA105" si="34">SUM(AS106:AS110)</f>
        <v>12.457258753087707</v>
      </c>
      <c r="AT105" s="23">
        <f t="shared" si="34"/>
        <v>12.933042514187779</v>
      </c>
      <c r="AU105" s="23">
        <f t="shared" si="34"/>
        <v>13.063753849378106</v>
      </c>
      <c r="AV105" s="23">
        <f t="shared" si="34"/>
        <v>13.187485024603006</v>
      </c>
      <c r="AW105" s="1049">
        <f t="shared" si="34"/>
        <v>13.302852194648626</v>
      </c>
      <c r="AX105" s="23">
        <f t="shared" si="34"/>
        <v>13.415899296994919</v>
      </c>
      <c r="AY105" s="23">
        <f t="shared" si="34"/>
        <v>13.527838399391985</v>
      </c>
      <c r="AZ105" s="23">
        <f t="shared" si="34"/>
        <v>13.635103097539627</v>
      </c>
      <c r="BA105" s="23">
        <f t="shared" si="34"/>
        <v>13.737744572784212</v>
      </c>
      <c r="BB105" s="703">
        <f t="shared" ref="BB105:BO105" si="35">SUM(BB106:BB110)</f>
        <v>13.834464293756255</v>
      </c>
      <c r="BC105" s="23">
        <f t="shared" si="35"/>
        <v>13.919602576492693</v>
      </c>
      <c r="BD105" s="23">
        <f t="shared" si="35"/>
        <v>13.997674454821237</v>
      </c>
      <c r="BE105" s="23">
        <f t="shared" si="35"/>
        <v>14.068020704491673</v>
      </c>
      <c r="BF105" s="23">
        <f t="shared" si="35"/>
        <v>14.133895140904283</v>
      </c>
      <c r="BG105" s="23">
        <f t="shared" si="35"/>
        <v>14.190174602566191</v>
      </c>
      <c r="BH105" s="23">
        <f t="shared" si="35"/>
        <v>14.248225315786167</v>
      </c>
      <c r="BI105" s="23">
        <f t="shared" si="35"/>
        <v>14.305094493319466</v>
      </c>
      <c r="BJ105" s="23">
        <f t="shared" si="35"/>
        <v>14.359007293380209</v>
      </c>
      <c r="BK105" s="23">
        <f t="shared" si="35"/>
        <v>14.418187896443584</v>
      </c>
      <c r="BL105" s="23">
        <f t="shared" si="35"/>
        <v>14.481333387474374</v>
      </c>
      <c r="BM105" s="23">
        <f t="shared" si="35"/>
        <v>14.546797201833291</v>
      </c>
      <c r="BN105" s="23">
        <f t="shared" si="35"/>
        <v>14.6138416528891</v>
      </c>
      <c r="BO105" s="23">
        <f t="shared" si="35"/>
        <v>14.685825200136447</v>
      </c>
      <c r="BP105" s="23">
        <f t="shared" ref="BP105:BU105" si="36">SUM(BP106:BP110)</f>
        <v>14.757770996732344</v>
      </c>
      <c r="BQ105" s="23">
        <f t="shared" si="36"/>
        <v>14.831124031510264</v>
      </c>
      <c r="BR105" s="23">
        <f t="shared" si="36"/>
        <v>14.909660322956817</v>
      </c>
      <c r="BS105" s="23">
        <f t="shared" si="36"/>
        <v>14.989950438842957</v>
      </c>
      <c r="BT105" s="23">
        <f t="shared" si="36"/>
        <v>15.078137437717061</v>
      </c>
      <c r="BU105" s="23">
        <f t="shared" si="36"/>
        <v>15.177079288555348</v>
      </c>
      <c r="BV105" s="23">
        <f t="shared" ref="BV105" si="37">SUM(BV106:BV110)</f>
        <v>15.27925300403302</v>
      </c>
    </row>
    <row r="106" spans="1:74" s="85" customFormat="1" ht="18" customHeight="1" x14ac:dyDescent="0.4">
      <c r="A106" s="860"/>
      <c r="B106" s="842" t="s">
        <v>52</v>
      </c>
      <c r="C106" s="866" t="str">
        <f t="shared" si="32"/>
        <v>2.A Mineral Industrykt CO2-eq WEM</v>
      </c>
      <c r="D106" s="891" t="s">
        <v>377</v>
      </c>
      <c r="E106" s="31" t="s">
        <v>197</v>
      </c>
      <c r="F106" s="1017"/>
      <c r="G106" s="39" t="s">
        <v>171</v>
      </c>
      <c r="H106" s="1017"/>
      <c r="I106" s="12"/>
      <c r="J106" s="12"/>
      <c r="K106" s="12"/>
      <c r="L106" s="12"/>
      <c r="M106" s="12"/>
      <c r="N106" s="12"/>
      <c r="O106" s="12"/>
      <c r="P106" s="12"/>
      <c r="Q106" s="12"/>
      <c r="R106" s="12"/>
      <c r="S106" s="12"/>
      <c r="T106" s="12"/>
      <c r="U106" s="12"/>
      <c r="V106" s="12"/>
      <c r="W106" s="12"/>
      <c r="X106" s="791"/>
      <c r="Y106" s="12"/>
      <c r="Z106" s="12"/>
      <c r="AA106" s="12"/>
      <c r="AB106" s="12"/>
      <c r="AC106" s="12"/>
      <c r="AD106" s="12"/>
      <c r="AE106" s="12"/>
      <c r="AF106" s="12"/>
      <c r="AG106" s="12"/>
      <c r="AH106" s="12"/>
      <c r="AI106" s="12"/>
      <c r="AJ106" s="12"/>
      <c r="AK106" s="12"/>
      <c r="AL106" s="12"/>
      <c r="AM106" s="12"/>
      <c r="AN106" s="12"/>
      <c r="AO106" s="12"/>
      <c r="AP106" s="168"/>
      <c r="AQ106" s="168"/>
      <c r="AR106" s="168">
        <f t="shared" si="33"/>
        <v>0.88172608749999992</v>
      </c>
      <c r="AS106" s="1099">
        <v>0.80937210115513092</v>
      </c>
      <c r="AT106" s="1099">
        <v>0.80937210115513092</v>
      </c>
      <c r="AU106" s="1099">
        <v>0.80937210115513092</v>
      </c>
      <c r="AV106" s="1099">
        <v>0.80937210115513092</v>
      </c>
      <c r="AW106" s="1100">
        <v>0.80937210115513092</v>
      </c>
      <c r="AX106" s="1099">
        <v>0.80937210115513092</v>
      </c>
      <c r="AY106" s="1099">
        <v>0.80937210115513092</v>
      </c>
      <c r="AZ106" s="1099">
        <v>0.80937210115513092</v>
      </c>
      <c r="BA106" s="1099">
        <v>0.80937210115513092</v>
      </c>
      <c r="BB106" s="1101">
        <v>0.80937210115513092</v>
      </c>
      <c r="BC106" s="1099">
        <v>0.80937210115513092</v>
      </c>
      <c r="BD106" s="1099">
        <v>0.80937210115513092</v>
      </c>
      <c r="BE106" s="1099">
        <v>0.80937210115513092</v>
      </c>
      <c r="BF106" s="1099">
        <v>0.80937210115513092</v>
      </c>
      <c r="BG106" s="1099">
        <v>0.80937210115513092</v>
      </c>
      <c r="BH106" s="1099">
        <v>0.80937210115513092</v>
      </c>
      <c r="BI106" s="1099">
        <v>0.80937210115513092</v>
      </c>
      <c r="BJ106" s="1099">
        <v>0.80937210115513092</v>
      </c>
      <c r="BK106" s="1099">
        <v>0.80937210115513092</v>
      </c>
      <c r="BL106" s="1099">
        <v>0.80937210115513092</v>
      </c>
      <c r="BM106" s="1099">
        <v>0.80937210115513092</v>
      </c>
      <c r="BN106" s="1099">
        <v>0.80937210115513092</v>
      </c>
      <c r="BO106" s="1099">
        <v>0.80937210115513092</v>
      </c>
      <c r="BP106" s="1099">
        <v>0.80937210115513092</v>
      </c>
      <c r="BQ106" s="1099">
        <v>0.80937210115513092</v>
      </c>
      <c r="BR106" s="1099">
        <v>0.80937210115513092</v>
      </c>
      <c r="BS106" s="1099">
        <v>0.80937210115513092</v>
      </c>
      <c r="BT106" s="1099">
        <v>0.80937210115513092</v>
      </c>
      <c r="BU106" s="1099">
        <v>0.80937210115513092</v>
      </c>
      <c r="BV106" s="1099">
        <v>0.80937210115513092</v>
      </c>
    </row>
    <row r="107" spans="1:74" s="85" customFormat="1" ht="18" customHeight="1" x14ac:dyDescent="0.4">
      <c r="A107" s="860"/>
      <c r="B107" s="842" t="s">
        <v>53</v>
      </c>
      <c r="C107" s="866" t="str">
        <f t="shared" si="32"/>
        <v>2.B Chemical Industrykt CO2-eq WEM</v>
      </c>
      <c r="D107" s="891" t="s">
        <v>377</v>
      </c>
      <c r="E107" s="31" t="s">
        <v>198</v>
      </c>
      <c r="F107" s="1017"/>
      <c r="G107" s="39" t="s">
        <v>172</v>
      </c>
      <c r="H107" s="1017"/>
      <c r="I107" s="12"/>
      <c r="J107" s="12"/>
      <c r="K107" s="12"/>
      <c r="L107" s="12"/>
      <c r="M107" s="12"/>
      <c r="N107" s="12"/>
      <c r="O107" s="12"/>
      <c r="P107" s="12"/>
      <c r="Q107" s="12"/>
      <c r="R107" s="12"/>
      <c r="S107" s="12"/>
      <c r="T107" s="12"/>
      <c r="U107" s="12"/>
      <c r="V107" s="12"/>
      <c r="W107" s="12"/>
      <c r="X107" s="791"/>
      <c r="Y107" s="12"/>
      <c r="Z107" s="12"/>
      <c r="AA107" s="12"/>
      <c r="AB107" s="12"/>
      <c r="AC107" s="12"/>
      <c r="AD107" s="12"/>
      <c r="AE107" s="12"/>
      <c r="AF107" s="12"/>
      <c r="AG107" s="12"/>
      <c r="AH107" s="12"/>
      <c r="AI107" s="12"/>
      <c r="AJ107" s="12"/>
      <c r="AK107" s="12"/>
      <c r="AL107" s="12"/>
      <c r="AM107" s="12"/>
      <c r="AN107" s="12"/>
      <c r="AO107" s="12"/>
      <c r="AP107" s="168"/>
      <c r="AQ107" s="168"/>
      <c r="AR107" s="168">
        <f t="shared" si="33"/>
        <v>0</v>
      </c>
      <c r="AS107" s="1091">
        <v>0</v>
      </c>
      <c r="AT107" s="1091">
        <v>0</v>
      </c>
      <c r="AU107" s="1091">
        <v>0</v>
      </c>
      <c r="AV107" s="1091">
        <v>0</v>
      </c>
      <c r="AW107" s="1102">
        <v>0</v>
      </c>
      <c r="AX107" s="1091">
        <v>0</v>
      </c>
      <c r="AY107" s="1091">
        <v>0</v>
      </c>
      <c r="AZ107" s="1091">
        <v>0</v>
      </c>
      <c r="BA107" s="1091">
        <v>0</v>
      </c>
      <c r="BB107" s="1092">
        <v>0</v>
      </c>
      <c r="BC107" s="1091">
        <v>0</v>
      </c>
      <c r="BD107" s="1091">
        <v>0</v>
      </c>
      <c r="BE107" s="1091">
        <v>0</v>
      </c>
      <c r="BF107" s="1091">
        <v>0</v>
      </c>
      <c r="BG107" s="1091">
        <v>0</v>
      </c>
      <c r="BH107" s="1091">
        <v>0</v>
      </c>
      <c r="BI107" s="1091">
        <v>0</v>
      </c>
      <c r="BJ107" s="1091">
        <v>0</v>
      </c>
      <c r="BK107" s="1091">
        <v>0</v>
      </c>
      <c r="BL107" s="1091">
        <v>0</v>
      </c>
      <c r="BM107" s="1091">
        <v>0</v>
      </c>
      <c r="BN107" s="1091">
        <v>0</v>
      </c>
      <c r="BO107" s="1091">
        <v>0</v>
      </c>
      <c r="BP107" s="1091">
        <v>0</v>
      </c>
      <c r="BQ107" s="1091">
        <v>0</v>
      </c>
      <c r="BR107" s="1091">
        <v>0</v>
      </c>
      <c r="BS107" s="1091">
        <v>0</v>
      </c>
      <c r="BT107" s="1091">
        <v>0</v>
      </c>
      <c r="BU107" s="1091">
        <v>0</v>
      </c>
      <c r="BV107" s="1091">
        <v>0</v>
      </c>
    </row>
    <row r="108" spans="1:74" s="85" customFormat="1" ht="18" customHeight="1" x14ac:dyDescent="0.4">
      <c r="A108" s="860"/>
      <c r="B108" s="842" t="s">
        <v>193</v>
      </c>
      <c r="C108" s="866" t="str">
        <f t="shared" si="32"/>
        <v>2.C.1 Iron and Steel productionkt CO2-eq WEM</v>
      </c>
      <c r="D108" s="891" t="s">
        <v>377</v>
      </c>
      <c r="E108" s="31" t="s">
        <v>199</v>
      </c>
      <c r="F108" s="1017"/>
      <c r="G108" s="39" t="s">
        <v>204</v>
      </c>
      <c r="H108" s="1017"/>
      <c r="I108" s="12"/>
      <c r="J108" s="12"/>
      <c r="K108" s="12"/>
      <c r="L108" s="12"/>
      <c r="M108" s="12"/>
      <c r="N108" s="12"/>
      <c r="O108" s="12"/>
      <c r="P108" s="12"/>
      <c r="Q108" s="12"/>
      <c r="R108" s="12"/>
      <c r="S108" s="12"/>
      <c r="T108" s="12"/>
      <c r="U108" s="12"/>
      <c r="V108" s="12"/>
      <c r="W108" s="12"/>
      <c r="X108" s="791"/>
      <c r="Y108" s="12"/>
      <c r="Z108" s="12"/>
      <c r="AA108" s="12"/>
      <c r="AB108" s="12"/>
      <c r="AC108" s="12"/>
      <c r="AD108" s="12"/>
      <c r="AE108" s="12"/>
      <c r="AF108" s="12"/>
      <c r="AG108" s="12"/>
      <c r="AH108" s="12"/>
      <c r="AI108" s="12"/>
      <c r="AJ108" s="12"/>
      <c r="AK108" s="12"/>
      <c r="AL108" s="12"/>
      <c r="AM108" s="12"/>
      <c r="AN108" s="12"/>
      <c r="AO108" s="12"/>
      <c r="AP108" s="168"/>
      <c r="AQ108" s="168"/>
      <c r="AR108" s="168">
        <f t="shared" si="33"/>
        <v>0</v>
      </c>
      <c r="AS108" s="1091">
        <v>0</v>
      </c>
      <c r="AT108" s="1091">
        <v>0</v>
      </c>
      <c r="AU108" s="1091">
        <v>0</v>
      </c>
      <c r="AV108" s="1091">
        <v>0</v>
      </c>
      <c r="AW108" s="1102">
        <v>0</v>
      </c>
      <c r="AX108" s="1091">
        <v>0</v>
      </c>
      <c r="AY108" s="1091">
        <v>0</v>
      </c>
      <c r="AZ108" s="1091">
        <v>0</v>
      </c>
      <c r="BA108" s="1091">
        <v>0</v>
      </c>
      <c r="BB108" s="1092">
        <v>0</v>
      </c>
      <c r="BC108" s="1091">
        <v>0</v>
      </c>
      <c r="BD108" s="1091">
        <v>0</v>
      </c>
      <c r="BE108" s="1091">
        <v>0</v>
      </c>
      <c r="BF108" s="1091">
        <v>0</v>
      </c>
      <c r="BG108" s="1091">
        <v>0</v>
      </c>
      <c r="BH108" s="1091">
        <v>0</v>
      </c>
      <c r="BI108" s="1091">
        <v>0</v>
      </c>
      <c r="BJ108" s="1091">
        <v>0</v>
      </c>
      <c r="BK108" s="1091">
        <v>0</v>
      </c>
      <c r="BL108" s="1091">
        <v>0</v>
      </c>
      <c r="BM108" s="1091">
        <v>0</v>
      </c>
      <c r="BN108" s="1091">
        <v>0</v>
      </c>
      <c r="BO108" s="1091">
        <v>0</v>
      </c>
      <c r="BP108" s="1091">
        <v>0</v>
      </c>
      <c r="BQ108" s="1091">
        <v>0</v>
      </c>
      <c r="BR108" s="1091">
        <v>0</v>
      </c>
      <c r="BS108" s="1091">
        <v>0</v>
      </c>
      <c r="BT108" s="1091">
        <v>0</v>
      </c>
      <c r="BU108" s="1091">
        <v>0</v>
      </c>
      <c r="BV108" s="1091">
        <v>0</v>
      </c>
    </row>
    <row r="109" spans="1:74" s="85" customFormat="1" ht="18" customHeight="1" x14ac:dyDescent="0.4">
      <c r="A109" s="860"/>
      <c r="B109" s="842" t="s">
        <v>55</v>
      </c>
      <c r="C109" s="866" t="str">
        <f t="shared" si="32"/>
        <v>2.D non-energy products from fuels and solvent usekt CO2-eq WEM</v>
      </c>
      <c r="D109" s="891" t="s">
        <v>377</v>
      </c>
      <c r="E109" s="31" t="s">
        <v>200</v>
      </c>
      <c r="F109" s="1017"/>
      <c r="G109" s="39" t="s">
        <v>173</v>
      </c>
      <c r="H109" s="1017"/>
      <c r="I109" s="12"/>
      <c r="J109" s="12"/>
      <c r="K109" s="12"/>
      <c r="L109" s="12"/>
      <c r="M109" s="12"/>
      <c r="N109" s="12"/>
      <c r="O109" s="12"/>
      <c r="P109" s="12"/>
      <c r="Q109" s="12"/>
      <c r="R109" s="12"/>
      <c r="S109" s="12"/>
      <c r="T109" s="12"/>
      <c r="U109" s="12"/>
      <c r="V109" s="12"/>
      <c r="W109" s="12"/>
      <c r="X109" s="791"/>
      <c r="Y109" s="12"/>
      <c r="Z109" s="12"/>
      <c r="AA109" s="12"/>
      <c r="AB109" s="12"/>
      <c r="AC109" s="12"/>
      <c r="AD109" s="12"/>
      <c r="AE109" s="12"/>
      <c r="AF109" s="12"/>
      <c r="AG109" s="12"/>
      <c r="AH109" s="12"/>
      <c r="AI109" s="12"/>
      <c r="AJ109" s="12"/>
      <c r="AK109" s="12"/>
      <c r="AL109" s="12"/>
      <c r="AM109" s="12"/>
      <c r="AN109" s="12"/>
      <c r="AO109" s="12"/>
      <c r="AP109" s="168"/>
      <c r="AQ109" s="168"/>
      <c r="AR109" s="168">
        <f t="shared" si="33"/>
        <v>7.698484772075326</v>
      </c>
      <c r="AS109" s="1103">
        <v>7.6266134704581674</v>
      </c>
      <c r="AT109" s="1103">
        <v>7.7430854399716118</v>
      </c>
      <c r="AU109" s="1103">
        <v>7.8525770715490042</v>
      </c>
      <c r="AV109" s="1103">
        <v>7.9524377893952947</v>
      </c>
      <c r="AW109" s="1052">
        <v>8.0422345609689181</v>
      </c>
      <c r="AX109" s="1103">
        <v>8.1301075265393994</v>
      </c>
      <c r="AY109" s="1103">
        <v>8.2155231195409701</v>
      </c>
      <c r="AZ109" s="1103">
        <v>8.2976866980778592</v>
      </c>
      <c r="BA109" s="1103">
        <v>8.3759126688815755</v>
      </c>
      <c r="BB109" s="1053">
        <v>8.4457012430920528</v>
      </c>
      <c r="BC109" s="1103">
        <v>8.5051804632679335</v>
      </c>
      <c r="BD109" s="1103">
        <v>8.5566470556961551</v>
      </c>
      <c r="BE109" s="1103">
        <v>8.599708412600199</v>
      </c>
      <c r="BF109" s="1103">
        <v>8.637793251770308</v>
      </c>
      <c r="BG109" s="1103">
        <v>8.6717133896636422</v>
      </c>
      <c r="BH109" s="1103">
        <v>8.7060943205503758</v>
      </c>
      <c r="BI109" s="1103">
        <v>8.7411781763438174</v>
      </c>
      <c r="BJ109" s="1103">
        <v>8.7784287570261839</v>
      </c>
      <c r="BK109" s="1103">
        <v>8.8185436536129664</v>
      </c>
      <c r="BL109" s="1103">
        <v>8.8618879865137323</v>
      </c>
      <c r="BM109" s="1103">
        <v>8.9085927077858056</v>
      </c>
      <c r="BN109" s="1103">
        <v>8.9587987084869116</v>
      </c>
      <c r="BO109" s="1103">
        <v>9.0131043770660924</v>
      </c>
      <c r="BP109" s="1103">
        <v>9.071864220407905</v>
      </c>
      <c r="BQ109" s="1103">
        <v>9.1349871477811604</v>
      </c>
      <c r="BR109" s="1103">
        <v>9.2023142051220344</v>
      </c>
      <c r="BS109" s="1103">
        <v>9.2734927086633512</v>
      </c>
      <c r="BT109" s="1103">
        <v>9.3481330098885866</v>
      </c>
      <c r="BU109" s="1103">
        <v>9.4258856987833788</v>
      </c>
      <c r="BV109" s="1103">
        <v>9.506274378228996</v>
      </c>
    </row>
    <row r="110" spans="1:74" s="85" customFormat="1" ht="18" customHeight="1" x14ac:dyDescent="0.4">
      <c r="A110" s="860"/>
      <c r="B110" s="842" t="s">
        <v>57</v>
      </c>
      <c r="C110" s="866" t="str">
        <f t="shared" si="32"/>
        <v>2.G Other product manufacture and usekt CO2-eq WEM</v>
      </c>
      <c r="D110" s="891" t="s">
        <v>377</v>
      </c>
      <c r="E110" s="31" t="s">
        <v>354</v>
      </c>
      <c r="F110" s="1017"/>
      <c r="G110" s="39" t="s">
        <v>353</v>
      </c>
      <c r="H110" s="1017"/>
      <c r="I110" s="12"/>
      <c r="J110" s="12"/>
      <c r="K110" s="12"/>
      <c r="L110" s="12"/>
      <c r="M110" s="12"/>
      <c r="N110" s="12"/>
      <c r="O110" s="12"/>
      <c r="P110" s="12"/>
      <c r="Q110" s="12"/>
      <c r="R110" s="12"/>
      <c r="S110" s="12"/>
      <c r="T110" s="12"/>
      <c r="U110" s="12"/>
      <c r="V110" s="12"/>
      <c r="W110" s="12"/>
      <c r="X110" s="791"/>
      <c r="Y110" s="12"/>
      <c r="Z110" s="12"/>
      <c r="AA110" s="12"/>
      <c r="AB110" s="12"/>
      <c r="AC110" s="12"/>
      <c r="AD110" s="12"/>
      <c r="AE110" s="12"/>
      <c r="AF110" s="12"/>
      <c r="AG110" s="12"/>
      <c r="AH110" s="12"/>
      <c r="AI110" s="12"/>
      <c r="AJ110" s="12"/>
      <c r="AK110" s="12"/>
      <c r="AL110" s="12"/>
      <c r="AM110" s="12"/>
      <c r="AN110" s="12"/>
      <c r="AO110" s="12"/>
      <c r="AP110" s="168"/>
      <c r="AQ110" s="168"/>
      <c r="AR110" s="168">
        <f t="shared" si="33"/>
        <v>5.5198751040379994</v>
      </c>
      <c r="AS110" s="1103">
        <v>4.0212731814744105</v>
      </c>
      <c r="AT110" s="1103">
        <v>4.3805849730610378</v>
      </c>
      <c r="AU110" s="1103">
        <v>4.4018046766739696</v>
      </c>
      <c r="AV110" s="1103">
        <v>4.4256751340525815</v>
      </c>
      <c r="AW110" s="1052">
        <v>4.4512455325245783</v>
      </c>
      <c r="AX110" s="1103">
        <v>4.4764196693003884</v>
      </c>
      <c r="AY110" s="1103">
        <v>4.5029431786958858</v>
      </c>
      <c r="AZ110" s="1103">
        <v>4.5280442983066367</v>
      </c>
      <c r="BA110" s="1103">
        <v>4.5524598027475056</v>
      </c>
      <c r="BB110" s="1053">
        <v>4.5793909495090732</v>
      </c>
      <c r="BC110" s="1103">
        <v>4.6050500120696292</v>
      </c>
      <c r="BD110" s="1103">
        <v>4.6316552979699521</v>
      </c>
      <c r="BE110" s="1103">
        <v>4.6589401907363444</v>
      </c>
      <c r="BF110" s="1103">
        <v>4.6867297879788454</v>
      </c>
      <c r="BG110" s="1103">
        <v>4.7090891117474181</v>
      </c>
      <c r="BH110" s="1103">
        <v>4.7327588940806606</v>
      </c>
      <c r="BI110" s="1103">
        <v>4.7545442158205171</v>
      </c>
      <c r="BJ110" s="1103">
        <v>4.7712064351988959</v>
      </c>
      <c r="BK110" s="1103">
        <v>4.7902721416754863</v>
      </c>
      <c r="BL110" s="1103">
        <v>4.8100732998055111</v>
      </c>
      <c r="BM110" s="1103">
        <v>4.8288323928923553</v>
      </c>
      <c r="BN110" s="1103">
        <v>4.845670843247059</v>
      </c>
      <c r="BO110" s="1103">
        <v>4.8633487219152247</v>
      </c>
      <c r="BP110" s="1103">
        <v>4.8765346751693075</v>
      </c>
      <c r="BQ110" s="1103">
        <v>4.886764782573974</v>
      </c>
      <c r="BR110" s="1103">
        <v>4.8979740166796528</v>
      </c>
      <c r="BS110" s="1103">
        <v>4.9070856290244755</v>
      </c>
      <c r="BT110" s="1103">
        <v>4.9206323266733429</v>
      </c>
      <c r="BU110" s="1103">
        <v>4.9418214886168395</v>
      </c>
      <c r="BV110" s="1103">
        <v>4.9636065246488945</v>
      </c>
    </row>
    <row r="111" spans="1:74" s="63" customFormat="1" ht="18" customHeight="1" x14ac:dyDescent="0.4">
      <c r="A111" s="861"/>
      <c r="B111" s="842" t="s">
        <v>39</v>
      </c>
      <c r="C111" s="866" t="str">
        <f t="shared" ref="C111" si="38">B111&amp;" "&amp;D111</f>
        <v>2. Industrial processes and product usekt CO2-eq WEM</v>
      </c>
      <c r="D111" s="891" t="s">
        <v>377</v>
      </c>
      <c r="E111" s="25" t="s">
        <v>117</v>
      </c>
      <c r="F111" s="89"/>
      <c r="G111" s="13"/>
      <c r="H111" s="89"/>
      <c r="I111" s="16"/>
      <c r="J111" s="16"/>
      <c r="K111" s="16"/>
      <c r="L111" s="16"/>
      <c r="M111" s="16"/>
      <c r="N111" s="16"/>
      <c r="O111" s="16"/>
      <c r="P111" s="16"/>
      <c r="Q111" s="16"/>
      <c r="R111" s="16"/>
      <c r="S111" s="16"/>
      <c r="T111" s="16"/>
      <c r="U111" s="16"/>
      <c r="V111" s="16"/>
      <c r="W111" s="16"/>
      <c r="X111" s="689"/>
      <c r="Y111" s="16"/>
      <c r="Z111" s="16"/>
      <c r="AA111" s="16"/>
      <c r="AB111" s="16"/>
      <c r="AC111" s="16"/>
      <c r="AD111" s="16"/>
      <c r="AE111" s="16"/>
      <c r="AF111" s="16"/>
      <c r="AG111" s="16"/>
      <c r="AH111" s="16"/>
      <c r="AI111" s="16"/>
      <c r="AJ111" s="16"/>
      <c r="AK111" s="16"/>
      <c r="AL111" s="16"/>
      <c r="AM111" s="16"/>
      <c r="AN111" s="16"/>
      <c r="AO111" s="16"/>
      <c r="AP111" s="168"/>
      <c r="AQ111" s="168"/>
      <c r="AR111" s="168">
        <f t="shared" si="33"/>
        <v>1794.4196472392562</v>
      </c>
      <c r="AS111" s="1054">
        <v>1734.7417705886837</v>
      </c>
      <c r="AT111" s="1054">
        <v>2013.8301926329</v>
      </c>
      <c r="AU111" s="1054">
        <v>1978.4823310253389</v>
      </c>
      <c r="AV111" s="1054">
        <v>1962.8297905577654</v>
      </c>
      <c r="AW111" s="1049">
        <v>1969.7218415436373</v>
      </c>
      <c r="AX111" s="1054">
        <v>1952.2376758706564</v>
      </c>
      <c r="AY111" s="1054">
        <v>1954.163341335048</v>
      </c>
      <c r="AZ111" s="1054">
        <v>1960.2764086183472</v>
      </c>
      <c r="BA111" s="1054">
        <v>1950.1164647515513</v>
      </c>
      <c r="BB111" s="1049">
        <v>1944.8548640854035</v>
      </c>
      <c r="BC111" s="1054">
        <v>1950.5900167536731</v>
      </c>
      <c r="BD111" s="1054">
        <v>1949.8732198882392</v>
      </c>
      <c r="BE111" s="1054">
        <v>1949.9818416407068</v>
      </c>
      <c r="BF111" s="1054">
        <v>1950.4563303450723</v>
      </c>
      <c r="BG111" s="1054">
        <v>1951.7824658333225</v>
      </c>
      <c r="BH111" s="1054">
        <v>1951.2988605289161</v>
      </c>
      <c r="BI111" s="1054">
        <v>1951.4526513401092</v>
      </c>
      <c r="BJ111" s="1054">
        <v>1951.6149411815268</v>
      </c>
      <c r="BK111" s="1054">
        <v>1952.6531482001305</v>
      </c>
      <c r="BL111" s="1054">
        <v>1951.8849469398829</v>
      </c>
      <c r="BM111" s="1054">
        <v>1952.08001015014</v>
      </c>
      <c r="BN111" s="1054">
        <v>1952.4681958742071</v>
      </c>
      <c r="BO111" s="1054">
        <v>1953.217208393598</v>
      </c>
      <c r="BP111" s="1054">
        <v>1952.3002404841639</v>
      </c>
      <c r="BQ111" s="1054">
        <v>1952.3707992450577</v>
      </c>
      <c r="BR111" s="1054">
        <v>1952.2944676756333</v>
      </c>
      <c r="BS111" s="1054">
        <v>1953.1391730737205</v>
      </c>
      <c r="BT111" s="1054">
        <v>1952.2390576853729</v>
      </c>
      <c r="BU111" s="1054">
        <v>1952.2942386071607</v>
      </c>
      <c r="BV111" s="1054">
        <v>1952.3893476925639</v>
      </c>
    </row>
    <row r="112" spans="1:74" s="63" customFormat="1" x14ac:dyDescent="0.4">
      <c r="A112" s="861"/>
      <c r="B112" s="848"/>
      <c r="C112" s="1002"/>
      <c r="D112" s="885"/>
      <c r="E112" s="69"/>
      <c r="F112" s="90"/>
      <c r="G112" s="34"/>
      <c r="H112" s="90"/>
      <c r="I112" s="1104"/>
      <c r="J112" s="1104"/>
      <c r="K112" s="1104"/>
      <c r="L112" s="1104"/>
      <c r="M112" s="1104"/>
      <c r="N112" s="1104"/>
      <c r="O112" s="1104"/>
      <c r="P112" s="1104"/>
      <c r="Q112" s="1104"/>
      <c r="R112" s="1104"/>
      <c r="S112" s="1104"/>
      <c r="T112" s="1104"/>
      <c r="U112" s="1104"/>
      <c r="V112" s="1104"/>
      <c r="W112" s="1104"/>
      <c r="X112" s="82"/>
      <c r="Y112" s="1104"/>
      <c r="Z112" s="1104"/>
      <c r="AA112" s="1104"/>
      <c r="AB112" s="1104"/>
      <c r="AC112" s="1104"/>
      <c r="AD112" s="1104"/>
      <c r="AE112" s="1104"/>
      <c r="AF112" s="1104"/>
      <c r="AG112" s="1104"/>
      <c r="AH112" s="1104"/>
      <c r="AI112" s="1104"/>
      <c r="AJ112" s="1104"/>
      <c r="AK112" s="1104"/>
      <c r="AL112" s="1104"/>
      <c r="AM112" s="1104"/>
      <c r="AN112" s="1104"/>
      <c r="AO112" s="1104"/>
      <c r="AP112" s="1104"/>
      <c r="AQ112" s="1104"/>
      <c r="AR112" s="1105"/>
      <c r="AS112" s="1106"/>
      <c r="BB112" s="621"/>
    </row>
    <row r="113" spans="1:74" x14ac:dyDescent="0.4">
      <c r="BV113" s="50"/>
    </row>
    <row r="114" spans="1:74" s="1166" customFormat="1" ht="47.4" customHeight="1" x14ac:dyDescent="0.75">
      <c r="A114" s="1150"/>
      <c r="B114" s="834"/>
      <c r="C114" s="988" t="s">
        <v>44</v>
      </c>
      <c r="D114" s="1162"/>
      <c r="E114" s="1163" t="s">
        <v>169</v>
      </c>
      <c r="F114" s="147"/>
      <c r="G114" s="146"/>
      <c r="H114" s="147"/>
      <c r="I114" s="148"/>
      <c r="J114" s="1164"/>
      <c r="K114" s="1164"/>
      <c r="L114" s="1164"/>
      <c r="M114" s="1164"/>
      <c r="N114" s="1164"/>
      <c r="O114" s="1164"/>
      <c r="P114" s="1164"/>
      <c r="Q114" s="1164"/>
      <c r="R114" s="1164"/>
      <c r="S114" s="1164"/>
      <c r="T114" s="1164"/>
      <c r="U114" s="1165"/>
      <c r="V114" s="1165"/>
      <c r="W114" s="1165"/>
      <c r="X114" s="1295"/>
      <c r="Y114" s="1165"/>
      <c r="Z114" s="1165"/>
      <c r="AA114" s="1165"/>
      <c r="AB114" s="1165"/>
      <c r="AC114" s="1165"/>
      <c r="AD114" s="1165"/>
      <c r="AE114" s="1165"/>
      <c r="AF114" s="1165"/>
      <c r="AG114" s="1165"/>
      <c r="AH114" s="1165"/>
      <c r="AI114" s="1165"/>
      <c r="AJ114" s="1165"/>
      <c r="AK114" s="1165"/>
      <c r="AL114" s="1165"/>
      <c r="AM114" s="1165"/>
      <c r="AN114" s="1165"/>
      <c r="AO114" s="1165"/>
      <c r="AP114" s="1165"/>
      <c r="AQ114" s="1165"/>
      <c r="AW114" s="1167"/>
      <c r="BB114" s="1168"/>
    </row>
    <row r="115" spans="1:74" s="1269" customFormat="1" ht="48" customHeight="1" x14ac:dyDescent="0.4">
      <c r="A115" s="855"/>
      <c r="B115" s="838"/>
      <c r="C115" s="873"/>
      <c r="D115" s="1264"/>
      <c r="E115" s="100"/>
      <c r="F115" s="1265"/>
      <c r="G115" s="1265"/>
      <c r="H115" s="1265"/>
      <c r="I115" s="1266"/>
      <c r="J115" s="1267"/>
      <c r="K115" s="1267"/>
      <c r="L115" s="1267"/>
      <c r="M115" s="1267"/>
      <c r="N115" s="1267"/>
      <c r="O115" s="1267"/>
      <c r="P115" s="1267"/>
      <c r="Q115" s="1267"/>
      <c r="R115" s="1267"/>
      <c r="S115" s="1267"/>
      <c r="T115" s="1267"/>
      <c r="U115" s="1267"/>
      <c r="V115" s="1267"/>
      <c r="W115" s="1267"/>
      <c r="X115" s="1268"/>
      <c r="Y115" s="1267"/>
      <c r="Z115" s="1267"/>
      <c r="AA115" s="1267"/>
      <c r="AB115" s="1267"/>
      <c r="AC115" s="1267"/>
      <c r="AD115" s="1267"/>
      <c r="AE115" s="1267"/>
      <c r="AF115" s="1267"/>
      <c r="AG115" s="1267"/>
      <c r="AH115" s="1267"/>
      <c r="AI115" s="1267"/>
      <c r="AJ115" s="1267"/>
      <c r="AK115" s="1267"/>
      <c r="AL115" s="1267"/>
      <c r="AM115" s="1267"/>
      <c r="AN115" s="1267"/>
      <c r="AO115" s="1267"/>
      <c r="AP115" s="1267"/>
      <c r="AQ115" s="1267"/>
      <c r="AR115" s="1267"/>
      <c r="AS115" s="1267"/>
      <c r="AT115" s="1267"/>
      <c r="AU115" s="1267"/>
      <c r="AV115" s="1267"/>
      <c r="AW115" s="1268"/>
      <c r="AX115" s="1267"/>
      <c r="AY115" s="1267"/>
      <c r="AZ115" s="1267"/>
      <c r="BA115" s="1267"/>
      <c r="BB115" s="1268"/>
      <c r="BC115" s="1267"/>
      <c r="BD115" s="1267"/>
      <c r="BE115" s="1267"/>
      <c r="BF115" s="1267"/>
      <c r="BG115" s="1267"/>
      <c r="BH115" s="1267"/>
      <c r="BI115" s="1267"/>
      <c r="BJ115" s="1267"/>
      <c r="BK115" s="1267"/>
      <c r="BL115" s="1267"/>
      <c r="BM115" s="1267"/>
      <c r="BN115" s="1267"/>
      <c r="BO115" s="1267"/>
      <c r="BP115" s="1267"/>
      <c r="BQ115" s="1267"/>
      <c r="BR115" s="1267"/>
      <c r="BS115" s="1267"/>
      <c r="BT115" s="1267"/>
      <c r="BU115" s="1267"/>
      <c r="BV115" s="1267"/>
    </row>
    <row r="116" spans="1:74" s="1322" customFormat="1" ht="20.399999999999999" x14ac:dyDescent="0.4">
      <c r="A116" s="855"/>
      <c r="B116" s="838"/>
      <c r="C116" s="873"/>
      <c r="D116" s="1264"/>
      <c r="E116" s="1317"/>
      <c r="F116" s="1318"/>
      <c r="G116" s="1318"/>
      <c r="H116" s="1318"/>
      <c r="I116" s="1319"/>
      <c r="J116" s="1320"/>
      <c r="K116" s="1320"/>
      <c r="L116" s="1320"/>
      <c r="M116" s="1320"/>
      <c r="N116" s="1320"/>
      <c r="O116" s="1320"/>
      <c r="P116" s="1320"/>
      <c r="Q116" s="1320"/>
      <c r="R116" s="1320"/>
      <c r="S116" s="1320"/>
      <c r="T116" s="1320"/>
      <c r="U116" s="1320"/>
      <c r="V116" s="1320"/>
      <c r="W116" s="1320"/>
      <c r="X116" s="1321"/>
      <c r="Y116" s="1320"/>
      <c r="Z116" s="1320"/>
      <c r="AA116" s="1320"/>
      <c r="AB116" s="1320"/>
      <c r="AC116" s="1320"/>
      <c r="AD116" s="1320"/>
      <c r="AE116" s="1320"/>
      <c r="AF116" s="1320"/>
      <c r="AG116" s="1320"/>
      <c r="AH116" s="1320"/>
      <c r="AI116" s="1320"/>
      <c r="AJ116" s="1320"/>
      <c r="AK116" s="1320"/>
      <c r="AL116" s="1320"/>
      <c r="AM116" s="1320"/>
      <c r="AN116" s="1320"/>
      <c r="AO116" s="1320"/>
      <c r="AP116" s="1320"/>
      <c r="AQ116" s="1320"/>
      <c r="AR116" s="1320"/>
      <c r="AS116" s="1320"/>
      <c r="AT116" s="1320"/>
      <c r="AU116" s="1320"/>
      <c r="AV116" s="1320"/>
      <c r="AW116" s="1321"/>
      <c r="AX116" s="1320"/>
      <c r="AY116" s="1320"/>
      <c r="AZ116" s="1320"/>
      <c r="BA116" s="1320"/>
      <c r="BB116" s="1321"/>
      <c r="BC116" s="1320"/>
      <c r="BD116" s="1320"/>
      <c r="BE116" s="1320"/>
      <c r="BF116" s="1320"/>
      <c r="BG116" s="1320"/>
      <c r="BH116" s="1320"/>
      <c r="BI116" s="1320"/>
      <c r="BJ116" s="1320"/>
      <c r="BK116" s="1320"/>
      <c r="BL116" s="1320"/>
      <c r="BM116" s="1320"/>
      <c r="BN116" s="1320"/>
      <c r="BO116" s="1320"/>
      <c r="BP116" s="1320"/>
      <c r="BQ116" s="1320"/>
      <c r="BR116" s="1320"/>
      <c r="BS116" s="1320"/>
      <c r="BT116" s="1320"/>
      <c r="BU116" s="1320"/>
      <c r="BV116" s="1320"/>
    </row>
    <row r="117" spans="1:74" s="817" customFormat="1" ht="27" x14ac:dyDescent="0.4">
      <c r="A117" s="853"/>
      <c r="B117" s="835"/>
      <c r="C117" s="869"/>
      <c r="D117" s="894"/>
      <c r="E117" s="998" t="s">
        <v>385</v>
      </c>
      <c r="F117" s="1107"/>
      <c r="G117" s="998" t="s">
        <v>386</v>
      </c>
      <c r="H117" s="1107"/>
      <c r="I117" s="814"/>
      <c r="J117" s="815"/>
      <c r="K117" s="815"/>
      <c r="L117" s="815"/>
      <c r="M117" s="815"/>
      <c r="N117" s="815"/>
      <c r="O117" s="815"/>
      <c r="P117" s="815"/>
      <c r="Q117" s="815"/>
      <c r="R117" s="815"/>
      <c r="S117" s="815"/>
      <c r="T117" s="815"/>
      <c r="U117" s="815"/>
      <c r="V117" s="815"/>
      <c r="W117" s="815"/>
      <c r="X117" s="816"/>
      <c r="Y117" s="815"/>
      <c r="Z117" s="815"/>
      <c r="AA117" s="815"/>
      <c r="AB117" s="815"/>
      <c r="AC117" s="815"/>
      <c r="AD117" s="815"/>
      <c r="AE117" s="815"/>
      <c r="AF117" s="815"/>
      <c r="AG117" s="815"/>
      <c r="AH117" s="815"/>
      <c r="AI117" s="815"/>
      <c r="AJ117" s="815"/>
      <c r="AK117" s="815"/>
      <c r="AL117" s="815"/>
      <c r="AM117" s="815"/>
      <c r="AN117" s="815"/>
      <c r="AO117" s="815"/>
      <c r="AP117" s="815"/>
      <c r="AQ117" s="815"/>
      <c r="AR117" s="815"/>
      <c r="AS117" s="815"/>
      <c r="AT117" s="815"/>
      <c r="AU117" s="815"/>
      <c r="AV117" s="815"/>
      <c r="AW117" s="816"/>
      <c r="AX117" s="815"/>
      <c r="AY117" s="815"/>
      <c r="AZ117" s="815"/>
      <c r="BA117" s="815"/>
      <c r="BB117" s="816"/>
      <c r="BC117" s="815"/>
      <c r="BD117" s="815"/>
      <c r="BE117" s="815"/>
      <c r="BF117" s="815"/>
      <c r="BG117" s="815"/>
      <c r="BH117" s="815"/>
      <c r="BI117" s="815"/>
      <c r="BJ117" s="815"/>
      <c r="BK117" s="815"/>
      <c r="BL117" s="815"/>
      <c r="BM117" s="815"/>
      <c r="BN117" s="815"/>
      <c r="BO117" s="815"/>
      <c r="BP117" s="815"/>
      <c r="BQ117" s="815"/>
      <c r="BR117" s="815"/>
      <c r="BS117" s="815"/>
      <c r="BT117" s="815"/>
      <c r="BU117" s="815"/>
      <c r="BV117" s="815"/>
    </row>
    <row r="118" spans="1:74" s="821" customFormat="1" ht="20.399999999999999" x14ac:dyDescent="0.4">
      <c r="A118" s="855"/>
      <c r="B118" s="838"/>
      <c r="C118" s="873"/>
      <c r="D118" s="1264"/>
      <c r="E118" s="901" t="s">
        <v>389</v>
      </c>
      <c r="F118" s="1019"/>
      <c r="G118" s="901" t="s">
        <v>390</v>
      </c>
      <c r="H118" s="1019"/>
      <c r="I118" s="818"/>
      <c r="J118" s="819"/>
      <c r="K118" s="819"/>
      <c r="L118" s="819"/>
      <c r="M118" s="819"/>
      <c r="N118" s="819"/>
      <c r="O118" s="819"/>
      <c r="P118" s="819"/>
      <c r="Q118" s="819"/>
      <c r="R118" s="819"/>
      <c r="S118" s="819"/>
      <c r="T118" s="819"/>
      <c r="U118" s="819"/>
      <c r="V118" s="819"/>
      <c r="W118" s="819"/>
      <c r="X118" s="820"/>
      <c r="Y118" s="819"/>
      <c r="Z118" s="819"/>
      <c r="AA118" s="819"/>
      <c r="AB118" s="819"/>
      <c r="AC118" s="819"/>
      <c r="AD118" s="819"/>
      <c r="AE118" s="819"/>
      <c r="AF118" s="819"/>
      <c r="AG118" s="819"/>
      <c r="AH118" s="819"/>
      <c r="AI118" s="819"/>
      <c r="AJ118" s="819"/>
      <c r="AK118" s="819"/>
      <c r="AL118" s="819"/>
      <c r="AM118" s="819"/>
      <c r="AN118" s="819"/>
      <c r="AO118" s="819"/>
      <c r="AP118" s="819"/>
      <c r="AQ118" s="819"/>
      <c r="AR118" s="819"/>
      <c r="AS118" s="819"/>
      <c r="AT118" s="819"/>
      <c r="AU118" s="819"/>
      <c r="AV118" s="819"/>
      <c r="AW118" s="820"/>
      <c r="AX118" s="819"/>
      <c r="AY118" s="819"/>
      <c r="AZ118" s="819"/>
      <c r="BA118" s="819"/>
      <c r="BB118" s="820"/>
      <c r="BC118" s="819"/>
      <c r="BD118" s="819"/>
      <c r="BE118" s="819"/>
      <c r="BF118" s="819"/>
      <c r="BG118" s="819"/>
      <c r="BH118" s="819"/>
      <c r="BI118" s="819"/>
      <c r="BJ118" s="819"/>
      <c r="BK118" s="819"/>
      <c r="BL118" s="819"/>
      <c r="BM118" s="819"/>
      <c r="BN118" s="819"/>
      <c r="BO118" s="819"/>
      <c r="BP118" s="819"/>
      <c r="BQ118" s="819"/>
      <c r="BR118" s="819"/>
      <c r="BS118" s="819"/>
      <c r="BT118" s="819"/>
      <c r="BU118" s="819"/>
      <c r="BV118" s="819"/>
    </row>
    <row r="119" spans="1:74" s="63" customFormat="1" x14ac:dyDescent="0.4">
      <c r="A119" s="861"/>
      <c r="B119" s="848"/>
      <c r="C119" s="1002"/>
      <c r="D119" s="885"/>
      <c r="E119" s="69"/>
      <c r="F119" s="90"/>
      <c r="G119" s="34"/>
      <c r="H119" s="90"/>
      <c r="I119" s="1104"/>
      <c r="J119" s="1104"/>
      <c r="K119" s="1104"/>
      <c r="L119" s="1104"/>
      <c r="M119" s="1104"/>
      <c r="N119" s="1104"/>
      <c r="O119" s="1104"/>
      <c r="P119" s="1104"/>
      <c r="Q119" s="1104"/>
      <c r="R119" s="1104"/>
      <c r="S119" s="1104"/>
      <c r="T119" s="1104"/>
      <c r="U119" s="1104"/>
      <c r="V119" s="1104"/>
      <c r="W119" s="1104"/>
      <c r="X119" s="82"/>
      <c r="Y119" s="1104"/>
      <c r="Z119" s="1104"/>
      <c r="AA119" s="1104"/>
      <c r="AB119" s="1104"/>
      <c r="AC119" s="1104"/>
      <c r="AD119" s="1104"/>
      <c r="AE119" s="1104"/>
      <c r="AF119" s="1104"/>
      <c r="AG119" s="1104"/>
      <c r="AH119" s="1104"/>
      <c r="AI119" s="1104"/>
      <c r="AJ119" s="1104"/>
      <c r="AK119" s="1104"/>
      <c r="AL119" s="1104"/>
      <c r="AM119" s="1104"/>
      <c r="AN119" s="1104"/>
      <c r="AO119" s="1104"/>
      <c r="AP119" s="1104"/>
      <c r="AQ119" s="1104"/>
      <c r="AR119" s="1105"/>
      <c r="AS119" s="1106"/>
      <c r="BB119" s="621"/>
    </row>
    <row r="120" spans="1:74" x14ac:dyDescent="0.4">
      <c r="B120" s="833"/>
      <c r="C120" s="867" t="s">
        <v>44</v>
      </c>
      <c r="D120" s="884"/>
      <c r="E120" s="41" t="str">
        <f>$E$5</f>
        <v>Söguleg losun</v>
      </c>
      <c r="F120" s="623"/>
      <c r="G120" s="41" t="s">
        <v>330</v>
      </c>
      <c r="H120" s="623"/>
      <c r="I120" s="4"/>
      <c r="J120" s="42"/>
      <c r="K120" s="43"/>
      <c r="L120" s="44"/>
      <c r="M120" s="8"/>
      <c r="N120" s="45"/>
      <c r="O120" s="6"/>
      <c r="P120" s="6"/>
      <c r="Q120" s="6"/>
      <c r="R120" s="6"/>
      <c r="S120" s="6"/>
      <c r="T120" s="6"/>
      <c r="U120" s="6"/>
      <c r="V120" s="6"/>
      <c r="W120" s="6"/>
      <c r="X120" s="1074"/>
      <c r="Y120" s="6"/>
      <c r="Z120" s="6"/>
      <c r="AA120" s="6"/>
      <c r="AB120" s="6"/>
      <c r="AC120" s="6"/>
      <c r="AD120" s="6"/>
      <c r="AE120" s="6"/>
      <c r="AF120" s="6"/>
      <c r="AG120" s="6"/>
      <c r="AH120" s="6"/>
      <c r="AI120" s="6"/>
      <c r="AJ120" s="6"/>
      <c r="AK120" s="6"/>
      <c r="AL120" s="6"/>
      <c r="AM120" s="6"/>
      <c r="AN120" s="6"/>
      <c r="AO120" s="6"/>
      <c r="AP120" s="6"/>
      <c r="AQ120" s="6"/>
      <c r="AR120" s="6"/>
      <c r="AS120" s="6"/>
      <c r="AT120" s="9"/>
      <c r="AU120" s="9"/>
      <c r="AV120" s="9"/>
      <c r="AW120" s="688"/>
      <c r="AX120" s="9"/>
      <c r="AY120" s="9"/>
      <c r="AZ120" s="9"/>
      <c r="BA120" s="9"/>
      <c r="BB120" s="790"/>
      <c r="BC120" s="9"/>
      <c r="BD120" s="9"/>
      <c r="BE120" s="9"/>
      <c r="BF120" s="9"/>
      <c r="BG120" s="9"/>
      <c r="BH120" s="9"/>
      <c r="BI120" s="9"/>
      <c r="BJ120" s="9"/>
      <c r="BK120" s="9"/>
      <c r="BL120" s="9"/>
      <c r="BM120" s="9"/>
      <c r="BN120" s="9"/>
      <c r="BO120" s="9"/>
      <c r="BP120" s="9"/>
      <c r="BQ120" s="9"/>
      <c r="BR120" s="9"/>
      <c r="BS120" s="9"/>
      <c r="BT120" s="9"/>
      <c r="BU120" s="9"/>
      <c r="BV120" s="9"/>
    </row>
    <row r="121" spans="1:74" s="68" customFormat="1" ht="30" x14ac:dyDescent="0.4">
      <c r="A121" s="859"/>
      <c r="B121" s="842" t="s">
        <v>417</v>
      </c>
      <c r="C121" s="1108" t="s">
        <v>418</v>
      </c>
      <c r="D121" s="884" t="s">
        <v>44</v>
      </c>
      <c r="E121" s="11" t="s">
        <v>190</v>
      </c>
      <c r="F121" s="1287" t="s">
        <v>459</v>
      </c>
      <c r="G121" s="10" t="s">
        <v>209</v>
      </c>
      <c r="H121" s="1042" t="s">
        <v>461</v>
      </c>
      <c r="I121" s="11">
        <v>147.78433438074271</v>
      </c>
      <c r="J121" s="11">
        <v>155.1034401373629</v>
      </c>
      <c r="K121" s="11">
        <v>160.01747578747319</v>
      </c>
      <c r="L121" s="11">
        <v>162.48122654233654</v>
      </c>
      <c r="M121" s="11">
        <v>167.42731385476205</v>
      </c>
      <c r="N121" s="11">
        <v>170.26374946659834</v>
      </c>
      <c r="O121" s="11">
        <v>173.20192972193922</v>
      </c>
      <c r="P121" s="11">
        <v>174.90895303512195</v>
      </c>
      <c r="Q121" s="11">
        <v>178.85136386056024</v>
      </c>
      <c r="R121" s="11">
        <v>179.55019036542171</v>
      </c>
      <c r="S121" s="11">
        <v>180.46417033325378</v>
      </c>
      <c r="T121" s="11">
        <v>180.43153220041413</v>
      </c>
      <c r="U121" s="11">
        <v>182.68568553721423</v>
      </c>
      <c r="V121" s="11">
        <v>185.40865168380728</v>
      </c>
      <c r="W121" s="11">
        <v>191.75258181088822</v>
      </c>
      <c r="X121" s="704">
        <v>195.74478757481128</v>
      </c>
      <c r="Y121" s="11">
        <v>196.08180482066297</v>
      </c>
      <c r="Z121" s="11">
        <v>196.86351367175919</v>
      </c>
      <c r="AA121" s="11">
        <v>197.35277738943344</v>
      </c>
      <c r="AB121" s="11">
        <v>196.39297126921491</v>
      </c>
      <c r="AC121" s="11">
        <v>195.50692931706621</v>
      </c>
      <c r="AD121" s="11">
        <v>194.62163188317825</v>
      </c>
      <c r="AE121" s="11">
        <v>193.773373552306</v>
      </c>
      <c r="AF121" s="11">
        <v>193.42284271097753</v>
      </c>
      <c r="AG121" s="11">
        <v>192.69430944887628</v>
      </c>
      <c r="AH121" s="11">
        <v>192.03452907089306</v>
      </c>
      <c r="AI121" s="11">
        <v>191.2985802417933</v>
      </c>
      <c r="AJ121" s="11">
        <v>190.80105963330715</v>
      </c>
      <c r="AK121" s="11">
        <v>190.51590282433983</v>
      </c>
      <c r="AL121" s="11">
        <v>190.2424512270801</v>
      </c>
      <c r="AM121" s="11">
        <v>190.10872324407484</v>
      </c>
      <c r="AN121" s="11">
        <v>189.73858323895246</v>
      </c>
      <c r="AO121" s="11">
        <v>190.78654830948304</v>
      </c>
      <c r="AP121" s="11">
        <v>191.09863759276044</v>
      </c>
      <c r="AQ121" s="11">
        <v>191.77623947103135</v>
      </c>
      <c r="AR121" s="11">
        <v>192.53067664599612</v>
      </c>
      <c r="AS121" s="12"/>
      <c r="AT121" s="12"/>
      <c r="AU121" s="12"/>
      <c r="AV121" s="12"/>
      <c r="AW121" s="689"/>
      <c r="AX121" s="12"/>
      <c r="AY121" s="12"/>
      <c r="AZ121" s="12"/>
      <c r="BA121" s="12"/>
      <c r="BB121" s="791"/>
      <c r="BC121" s="12"/>
      <c r="BD121" s="12"/>
      <c r="BE121" s="12"/>
      <c r="BF121" s="12"/>
      <c r="BG121" s="12"/>
      <c r="BH121" s="12"/>
      <c r="BI121" s="12"/>
      <c r="BJ121" s="12"/>
      <c r="BK121" s="12"/>
      <c r="BL121" s="12"/>
      <c r="BM121" s="12"/>
      <c r="BN121" s="12"/>
      <c r="BO121" s="12"/>
      <c r="BP121" s="12"/>
      <c r="BQ121" s="12"/>
      <c r="BR121" s="12"/>
      <c r="BS121" s="12"/>
      <c r="BT121" s="12"/>
      <c r="BU121" s="12"/>
      <c r="BV121" s="12"/>
    </row>
    <row r="122" spans="1:74" s="68" customFormat="1" ht="45" x14ac:dyDescent="0.4">
      <c r="A122" s="859"/>
      <c r="B122" s="833"/>
      <c r="C122" s="1108" t="s">
        <v>402</v>
      </c>
      <c r="D122" s="884" t="s">
        <v>44</v>
      </c>
      <c r="E122" s="11" t="s">
        <v>403</v>
      </c>
      <c r="F122" s="1042" t="s">
        <v>460</v>
      </c>
      <c r="G122" s="10" t="s">
        <v>432</v>
      </c>
      <c r="H122" s="1042" t="s">
        <v>462</v>
      </c>
      <c r="I122" s="11">
        <f>SUM(I123:I127)</f>
        <v>68.171148798692514</v>
      </c>
      <c r="J122" s="11">
        <f t="shared" ref="J122:AR122" si="39">SUM(J123:J127)</f>
        <v>66.45155717132063</v>
      </c>
      <c r="K122" s="11">
        <f t="shared" si="39"/>
        <v>59.600341475171561</v>
      </c>
      <c r="L122" s="11">
        <f t="shared" si="39"/>
        <v>62.29893473227218</v>
      </c>
      <c r="M122" s="11">
        <f t="shared" si="39"/>
        <v>64.398230824497347</v>
      </c>
      <c r="N122" s="11">
        <f t="shared" si="39"/>
        <v>63.602547922448515</v>
      </c>
      <c r="O122" s="11">
        <f t="shared" si="39"/>
        <v>68.752171077815674</v>
      </c>
      <c r="P122" s="11">
        <f t="shared" si="39"/>
        <v>65.930821210377502</v>
      </c>
      <c r="Q122" s="11">
        <f t="shared" si="39"/>
        <v>66.460366024454544</v>
      </c>
      <c r="R122" s="11">
        <f t="shared" si="39"/>
        <v>72.051552284497475</v>
      </c>
      <c r="S122" s="11">
        <f t="shared" si="39"/>
        <v>71.971375443648654</v>
      </c>
      <c r="T122" s="11">
        <f t="shared" si="39"/>
        <v>70.278773947677237</v>
      </c>
      <c r="U122" s="11">
        <f t="shared" si="39"/>
        <v>62.893110045163851</v>
      </c>
      <c r="V122" s="11">
        <f t="shared" si="39"/>
        <v>61.106755912658755</v>
      </c>
      <c r="W122" s="11">
        <f t="shared" si="39"/>
        <v>58.768474024464084</v>
      </c>
      <c r="X122" s="704">
        <f t="shared" si="39"/>
        <v>57.849505763481368</v>
      </c>
      <c r="Y122" s="11">
        <f t="shared" si="39"/>
        <v>71.762880271220212</v>
      </c>
      <c r="Z122" s="11">
        <f t="shared" si="39"/>
        <v>79.861160811516996</v>
      </c>
      <c r="AA122" s="11">
        <f t="shared" si="39"/>
        <v>90.918566310303163</v>
      </c>
      <c r="AB122" s="11">
        <f t="shared" si="39"/>
        <v>72.128330191791193</v>
      </c>
      <c r="AC122" s="11">
        <f t="shared" si="39"/>
        <v>63.415431189901255</v>
      </c>
      <c r="AD122" s="11">
        <f t="shared" si="39"/>
        <v>61.498289531876495</v>
      </c>
      <c r="AE122" s="11">
        <f t="shared" si="39"/>
        <v>70.353588713396476</v>
      </c>
      <c r="AF122" s="11">
        <f t="shared" si="39"/>
        <v>68.494914052410209</v>
      </c>
      <c r="AG122" s="11">
        <f t="shared" si="39"/>
        <v>82.931880035686476</v>
      </c>
      <c r="AH122" s="11">
        <f t="shared" si="39"/>
        <v>67.161805065954624</v>
      </c>
      <c r="AI122" s="11">
        <f t="shared" si="39"/>
        <v>62.899020000040352</v>
      </c>
      <c r="AJ122" s="11">
        <f t="shared" si="39"/>
        <v>75.798194649511743</v>
      </c>
      <c r="AK122" s="11">
        <f t="shared" si="39"/>
        <v>68.528435677340667</v>
      </c>
      <c r="AL122" s="11">
        <f t="shared" si="39"/>
        <v>66.041658118953791</v>
      </c>
      <c r="AM122" s="11">
        <f t="shared" si="39"/>
        <v>69.588080985207881</v>
      </c>
      <c r="AN122" s="11">
        <f t="shared" si="39"/>
        <v>74.188710790711369</v>
      </c>
      <c r="AO122" s="11">
        <f t="shared" si="39"/>
        <v>67.645073226083056</v>
      </c>
      <c r="AP122" s="11">
        <f t="shared" si="39"/>
        <v>56.26698627528345</v>
      </c>
      <c r="AQ122" s="11">
        <f t="shared" si="39"/>
        <v>64.927515513619213</v>
      </c>
      <c r="AR122" s="11">
        <f t="shared" si="39"/>
        <v>66.57016773211484</v>
      </c>
      <c r="AS122" s="12"/>
      <c r="AT122" s="12"/>
      <c r="AU122" s="12"/>
      <c r="AV122" s="12"/>
      <c r="AW122" s="689"/>
      <c r="AX122" s="12"/>
      <c r="AY122" s="12"/>
      <c r="AZ122" s="12"/>
      <c r="BA122" s="12"/>
      <c r="BB122" s="791"/>
      <c r="BC122" s="12"/>
      <c r="BD122" s="12"/>
      <c r="BE122" s="12"/>
      <c r="BF122" s="12"/>
      <c r="BG122" s="12"/>
      <c r="BH122" s="12"/>
      <c r="BI122" s="12"/>
      <c r="BJ122" s="12"/>
      <c r="BK122" s="12"/>
      <c r="BL122" s="12"/>
      <c r="BM122" s="12"/>
      <c r="BN122" s="12"/>
      <c r="BO122" s="12"/>
      <c r="BP122" s="12"/>
      <c r="BQ122" s="12"/>
      <c r="BR122" s="12"/>
      <c r="BS122" s="12"/>
      <c r="BT122" s="12"/>
      <c r="BU122" s="12"/>
      <c r="BV122" s="12"/>
    </row>
    <row r="123" spans="1:74" s="85" customFormat="1" ht="18" customHeight="1" x14ac:dyDescent="0.4">
      <c r="A123" s="860"/>
      <c r="B123" s="833" t="s">
        <v>421</v>
      </c>
      <c r="C123" s="874" t="s">
        <v>44</v>
      </c>
      <c r="D123" s="884"/>
      <c r="E123" s="31" t="str">
        <f>B123</f>
        <v>3.D.1.a Inorganic N fertilizerskt CO2-eq</v>
      </c>
      <c r="F123" s="1020"/>
      <c r="G123" s="39"/>
      <c r="H123" s="1021"/>
      <c r="I123" s="31">
        <v>51.932432357142865</v>
      </c>
      <c r="J123" s="31">
        <v>50.632567228571425</v>
      </c>
      <c r="K123" s="31">
        <v>45.393895800000003</v>
      </c>
      <c r="L123" s="31">
        <v>47.458327950000005</v>
      </c>
      <c r="M123" s="31">
        <v>49.06816585</v>
      </c>
      <c r="N123" s="31">
        <v>46.611437164285711</v>
      </c>
      <c r="O123" s="31">
        <v>50.37273245714286</v>
      </c>
      <c r="P123" s="31">
        <v>48.292417721428571</v>
      </c>
      <c r="Q123" s="31">
        <v>48.705818857142859</v>
      </c>
      <c r="R123" s="31">
        <v>52.80255985714286</v>
      </c>
      <c r="S123" s="31">
        <v>52.741119985714292</v>
      </c>
      <c r="T123" s="31">
        <v>51.501686971428569</v>
      </c>
      <c r="U123" s="31">
        <v>46.087220221428566</v>
      </c>
      <c r="V123" s="31">
        <v>43.006585757142858</v>
      </c>
      <c r="W123" s="31">
        <v>41.142372464285721</v>
      </c>
      <c r="X123" s="706">
        <v>40.630273592857144</v>
      </c>
      <c r="Y123" s="31">
        <v>51.315397649999994</v>
      </c>
      <c r="Z123" s="31">
        <v>57.763827392857152</v>
      </c>
      <c r="AA123" s="31">
        <v>63.935944285714285</v>
      </c>
      <c r="AB123" s="31">
        <v>50.604295892857145</v>
      </c>
      <c r="AC123" s="31">
        <v>45.190162285714287</v>
      </c>
      <c r="AD123" s="31">
        <v>43.751235000000001</v>
      </c>
      <c r="AE123" s="31">
        <v>50.358900234955719</v>
      </c>
      <c r="AF123" s="31">
        <v>48.943267387606447</v>
      </c>
      <c r="AG123" s="31">
        <v>59.918595464066428</v>
      </c>
      <c r="AH123" s="31">
        <v>48.521862557629937</v>
      </c>
      <c r="AI123" s="31">
        <v>45.128465881376428</v>
      </c>
      <c r="AJ123" s="31">
        <v>54.384730296160022</v>
      </c>
      <c r="AK123" s="31">
        <v>48.804427671615002</v>
      </c>
      <c r="AL123" s="31">
        <v>44.137730685714288</v>
      </c>
      <c r="AM123" s="31">
        <v>47.450084065717789</v>
      </c>
      <c r="AN123" s="31">
        <v>51.132814542857147</v>
      </c>
      <c r="AO123" s="31">
        <v>46.597620226609557</v>
      </c>
      <c r="AP123" s="31">
        <v>36.208108262072692</v>
      </c>
      <c r="AQ123" s="31">
        <v>44.448811967929274</v>
      </c>
      <c r="AR123" s="31">
        <v>44.448811967929274</v>
      </c>
      <c r="AS123" s="175"/>
      <c r="AT123" s="175"/>
      <c r="AU123" s="175"/>
      <c r="AV123" s="175"/>
      <c r="AW123" s="812"/>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c r="BS123" s="175"/>
      <c r="BT123" s="175"/>
      <c r="BU123" s="175"/>
      <c r="BV123" s="175"/>
    </row>
    <row r="124" spans="1:74" s="85" customFormat="1" ht="18" customHeight="1" x14ac:dyDescent="0.4">
      <c r="A124" s="860"/>
      <c r="B124" s="833" t="s">
        <v>61</v>
      </c>
      <c r="C124" s="874" t="s">
        <v>44</v>
      </c>
      <c r="D124" s="884"/>
      <c r="E124" s="31" t="str">
        <f>B124</f>
        <v>3.G Limingkt CO2-eq</v>
      </c>
      <c r="F124" s="1020"/>
      <c r="G124" s="39"/>
      <c r="H124" s="1021"/>
      <c r="I124" s="177">
        <v>2.3099999999999999E-2</v>
      </c>
      <c r="J124" s="177">
        <v>9.2492400000000006E-3</v>
      </c>
      <c r="K124" s="177">
        <v>3.2451320000000006E-2</v>
      </c>
      <c r="L124" s="177">
        <v>2.2004839999999998E-2</v>
      </c>
      <c r="M124" s="177">
        <v>8.7999999999999988E-3</v>
      </c>
      <c r="N124" s="177">
        <v>3.0799999999999997E-6</v>
      </c>
      <c r="O124" s="177">
        <v>1.7356020000000714E-2</v>
      </c>
      <c r="P124" s="177">
        <v>3.4708959999999997E-2</v>
      </c>
      <c r="Q124" s="177">
        <v>6.1599999999999995E-6</v>
      </c>
      <c r="R124" s="177">
        <v>1.1063800000000992E-3</v>
      </c>
      <c r="S124" s="177">
        <v>2.2065999999999995E-3</v>
      </c>
      <c r="T124" s="177">
        <v>1.11936E-3</v>
      </c>
      <c r="U124" s="177">
        <v>2.8419599999999993E-3</v>
      </c>
      <c r="V124" s="177">
        <v>2.4203065333333327</v>
      </c>
      <c r="W124" s="177">
        <v>2.6251791866666663</v>
      </c>
      <c r="X124" s="1112">
        <v>2.4051975199999998</v>
      </c>
      <c r="Y124" s="177">
        <v>1.73838852</v>
      </c>
      <c r="Z124" s="177">
        <v>1.0369714762512297</v>
      </c>
      <c r="AA124" s="177">
        <v>3.6735925942222227</v>
      </c>
      <c r="AB124" s="177">
        <v>3.0739770309844445</v>
      </c>
      <c r="AC124" s="177">
        <v>1.8583262646666665</v>
      </c>
      <c r="AD124" s="177">
        <v>1.9271194561666667</v>
      </c>
      <c r="AE124" s="177">
        <v>1.7916920999999999</v>
      </c>
      <c r="AF124" s="177">
        <v>1.8863734999999999</v>
      </c>
      <c r="AG124" s="177">
        <v>1.6110500266666667</v>
      </c>
      <c r="AH124" s="177">
        <v>1.3485655333333331</v>
      </c>
      <c r="AI124" s="177">
        <v>1.2491211333333334</v>
      </c>
      <c r="AJ124" s="177">
        <v>1.5897757333333333</v>
      </c>
      <c r="AK124" s="177">
        <v>1.7315657333333334</v>
      </c>
      <c r="AL124" s="177">
        <v>2.2879114133333331</v>
      </c>
      <c r="AM124" s="177">
        <v>3.5963399999999996</v>
      </c>
      <c r="AN124" s="177">
        <v>3.5400694266666668</v>
      </c>
      <c r="AO124" s="177">
        <v>2.8859085200000001</v>
      </c>
      <c r="AP124" s="177">
        <v>4.9082017233333328</v>
      </c>
      <c r="AQ124" s="177">
        <v>2.5082184233333336</v>
      </c>
      <c r="AR124" s="177">
        <v>4.2993264233333335</v>
      </c>
      <c r="AS124" s="175"/>
      <c r="AT124" s="175"/>
      <c r="AU124" s="175"/>
      <c r="AV124" s="175"/>
      <c r="AW124" s="812"/>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c r="BS124" s="175"/>
      <c r="BT124" s="175"/>
      <c r="BU124" s="175"/>
      <c r="BV124" s="175"/>
    </row>
    <row r="125" spans="1:74" s="85" customFormat="1" ht="18" customHeight="1" x14ac:dyDescent="0.4">
      <c r="A125" s="860"/>
      <c r="B125" s="833" t="s">
        <v>76</v>
      </c>
      <c r="C125" s="874" t="s">
        <v>44</v>
      </c>
      <c r="D125" s="884"/>
      <c r="E125" s="31" t="str">
        <f>B125</f>
        <v>3.H Urea applicationkt CO2-eq</v>
      </c>
      <c r="F125" s="1020"/>
      <c r="G125" s="39"/>
      <c r="H125" s="1021"/>
      <c r="I125" s="177">
        <v>0</v>
      </c>
      <c r="J125" s="177">
        <v>0</v>
      </c>
      <c r="K125" s="177">
        <v>0</v>
      </c>
      <c r="L125" s="177">
        <v>0</v>
      </c>
      <c r="M125" s="177">
        <v>0</v>
      </c>
      <c r="N125" s="177">
        <v>0</v>
      </c>
      <c r="O125" s="177">
        <v>0</v>
      </c>
      <c r="P125" s="177">
        <v>0</v>
      </c>
      <c r="Q125" s="177">
        <v>0</v>
      </c>
      <c r="R125" s="177">
        <v>0</v>
      </c>
      <c r="S125" s="177">
        <v>0</v>
      </c>
      <c r="T125" s="177">
        <v>0</v>
      </c>
      <c r="U125" s="177">
        <v>0</v>
      </c>
      <c r="V125" s="177">
        <v>0</v>
      </c>
      <c r="W125" s="177">
        <v>0</v>
      </c>
      <c r="X125" s="1112">
        <v>0</v>
      </c>
      <c r="Y125" s="177">
        <v>0</v>
      </c>
      <c r="Z125" s="177">
        <v>0</v>
      </c>
      <c r="AA125" s="177">
        <v>0</v>
      </c>
      <c r="AB125" s="177">
        <v>0</v>
      </c>
      <c r="AC125" s="177">
        <v>0</v>
      </c>
      <c r="AD125" s="177">
        <v>0</v>
      </c>
      <c r="AE125" s="177">
        <v>0</v>
      </c>
      <c r="AF125" s="177">
        <v>0</v>
      </c>
      <c r="AG125" s="177">
        <v>6.6E-3</v>
      </c>
      <c r="AH125" s="177">
        <v>6.6E-3</v>
      </c>
      <c r="AI125" s="177">
        <v>0.3888133333333334</v>
      </c>
      <c r="AJ125" s="177">
        <v>0.67158666666666655</v>
      </c>
      <c r="AK125" s="177">
        <v>0.80886666666666673</v>
      </c>
      <c r="AL125" s="177">
        <v>3.153839333333333</v>
      </c>
      <c r="AM125" s="177">
        <v>1.574265</v>
      </c>
      <c r="AN125" s="177">
        <v>1.3679600000000001</v>
      </c>
      <c r="AO125" s="177">
        <v>1.6002799999999999</v>
      </c>
      <c r="AP125" s="177">
        <v>1.8259450000000002</v>
      </c>
      <c r="AQ125" s="177">
        <v>2.0180196666666665</v>
      </c>
      <c r="AR125" s="177">
        <v>2.0180196666666665</v>
      </c>
      <c r="AS125" s="175"/>
      <c r="AT125" s="175"/>
      <c r="AU125" s="175"/>
      <c r="AV125" s="175"/>
      <c r="AW125" s="812"/>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c r="BS125" s="175"/>
      <c r="BT125" s="175"/>
      <c r="BU125" s="175"/>
      <c r="BV125" s="175"/>
    </row>
    <row r="126" spans="1:74" s="85" customFormat="1" ht="18" customHeight="1" x14ac:dyDescent="0.4">
      <c r="A126" s="860"/>
      <c r="B126" s="833" t="s">
        <v>77</v>
      </c>
      <c r="C126" s="874" t="s">
        <v>44</v>
      </c>
      <c r="D126" s="884"/>
      <c r="E126" s="31" t="str">
        <f>B126</f>
        <v>3.I Other carbon-containing fertilizerskt CO2-eq</v>
      </c>
      <c r="F126" s="1020"/>
      <c r="G126" s="39"/>
      <c r="H126" s="1021"/>
      <c r="I126" s="177">
        <v>0</v>
      </c>
      <c r="J126" s="177">
        <v>0</v>
      </c>
      <c r="K126" s="177">
        <v>0</v>
      </c>
      <c r="L126" s="177">
        <v>0</v>
      </c>
      <c r="M126" s="177">
        <v>0</v>
      </c>
      <c r="N126" s="177">
        <v>2.4369427269135802</v>
      </c>
      <c r="O126" s="177">
        <v>2.6334738765432109</v>
      </c>
      <c r="P126" s="177">
        <v>2.524652641975309</v>
      </c>
      <c r="Q126" s="177">
        <v>2.5464168888888898</v>
      </c>
      <c r="R126" s="177">
        <v>2.7605770785185189</v>
      </c>
      <c r="S126" s="177">
        <v>2.759924151111111</v>
      </c>
      <c r="T126" s="177">
        <v>2.694849052839507</v>
      </c>
      <c r="U126" s="177">
        <v>2.412566770370371</v>
      </c>
      <c r="V126" s="177">
        <v>2.2512937007407414</v>
      </c>
      <c r="W126" s="177">
        <v>2.1544428019753092</v>
      </c>
      <c r="X126" s="1112">
        <v>2.1274551358024691</v>
      </c>
      <c r="Y126" s="177">
        <v>2.6861433540740745</v>
      </c>
      <c r="Z126" s="177">
        <v>3.0239244661728399</v>
      </c>
      <c r="AA126" s="177">
        <v>3.3453823930864197</v>
      </c>
      <c r="AB126" s="177">
        <v>2.6491441343209883</v>
      </c>
      <c r="AC126" s="177">
        <v>2.0664137584061533</v>
      </c>
      <c r="AD126" s="177">
        <v>1.9337200715379959</v>
      </c>
      <c r="AE126" s="177">
        <v>2.5544715798697335</v>
      </c>
      <c r="AF126" s="177">
        <v>2.3632436206617329</v>
      </c>
      <c r="AG126" s="177">
        <v>2.2058846438152333</v>
      </c>
      <c r="AH126" s="177">
        <v>1.8359805571269066</v>
      </c>
      <c r="AI126" s="177">
        <v>1.956813274139533</v>
      </c>
      <c r="AJ126" s="177">
        <v>2.0429221621201252</v>
      </c>
      <c r="AK126" s="177">
        <v>1.8375318122447</v>
      </c>
      <c r="AL126" s="177">
        <v>2.3284968518030262</v>
      </c>
      <c r="AM126" s="177">
        <v>1.8208390884264531</v>
      </c>
      <c r="AN126" s="177">
        <v>1.9215742567450005</v>
      </c>
      <c r="AO126" s="177">
        <v>1.5347314509587344</v>
      </c>
      <c r="AP126" s="177">
        <v>1.3421660667500181</v>
      </c>
      <c r="AQ126" s="177">
        <v>1.1488562849915438</v>
      </c>
      <c r="AR126" s="177">
        <v>1.1488562849915438</v>
      </c>
      <c r="AS126" s="175"/>
      <c r="AT126" s="175"/>
      <c r="AU126" s="175"/>
      <c r="AV126" s="175"/>
      <c r="AW126" s="812"/>
      <c r="AX126" s="175"/>
      <c r="AY126" s="175"/>
      <c r="AZ126" s="175"/>
      <c r="BA126" s="175"/>
      <c r="BB126" s="175"/>
      <c r="BC126" s="175"/>
      <c r="BD126" s="175"/>
      <c r="BE126" s="175"/>
      <c r="BF126" s="175"/>
      <c r="BG126" s="175"/>
      <c r="BH126" s="175"/>
      <c r="BI126" s="175"/>
      <c r="BJ126" s="175"/>
      <c r="BK126" s="175"/>
      <c r="BL126" s="175"/>
      <c r="BM126" s="175"/>
      <c r="BN126" s="175"/>
      <c r="BO126" s="175"/>
      <c r="BP126" s="175"/>
      <c r="BQ126" s="175"/>
      <c r="BR126" s="175"/>
      <c r="BS126" s="175"/>
      <c r="BT126" s="175"/>
      <c r="BU126" s="175"/>
      <c r="BV126" s="175"/>
    </row>
    <row r="127" spans="1:74" s="85" customFormat="1" ht="18" customHeight="1" x14ac:dyDescent="0.4">
      <c r="A127" s="860"/>
      <c r="B127" s="833" t="s">
        <v>404</v>
      </c>
      <c r="C127" s="874" t="s">
        <v>44</v>
      </c>
      <c r="D127" s="884"/>
      <c r="E127" s="31" t="str">
        <f>B127</f>
        <v>3D2_Inorganic N Fertilizer_CO2e_kt</v>
      </c>
      <c r="F127" s="1020"/>
      <c r="G127" s="39"/>
      <c r="H127" s="1021"/>
      <c r="I127" s="31">
        <v>16.215616441549649</v>
      </c>
      <c r="J127" s="31">
        <v>15.809740702749197</v>
      </c>
      <c r="K127" s="31">
        <v>14.173994355171557</v>
      </c>
      <c r="L127" s="31">
        <v>14.818601942272172</v>
      </c>
      <c r="M127" s="31">
        <v>15.321264974497341</v>
      </c>
      <c r="N127" s="31">
        <v>14.554164951249225</v>
      </c>
      <c r="O127" s="31">
        <v>15.728608724129598</v>
      </c>
      <c r="P127" s="31">
        <v>15.079041886973615</v>
      </c>
      <c r="Q127" s="31">
        <v>15.208124118422797</v>
      </c>
      <c r="R127" s="31">
        <v>16.4873089688361</v>
      </c>
      <c r="S127" s="31">
        <v>16.46812470682325</v>
      </c>
      <c r="T127" s="31">
        <v>16.081118563409163</v>
      </c>
      <c r="U127" s="31">
        <v>14.390481093364917</v>
      </c>
      <c r="V127" s="31">
        <v>13.428569921441827</v>
      </c>
      <c r="W127" s="31">
        <v>12.84647957153639</v>
      </c>
      <c r="X127" s="706">
        <v>12.686579514821752</v>
      </c>
      <c r="Y127" s="31">
        <v>16.022950747146137</v>
      </c>
      <c r="Z127" s="31">
        <v>18.036437476235772</v>
      </c>
      <c r="AA127" s="31">
        <v>19.963647037280232</v>
      </c>
      <c r="AB127" s="31">
        <v>15.80091313362861</v>
      </c>
      <c r="AC127" s="31">
        <v>14.300528881114143</v>
      </c>
      <c r="AD127" s="31">
        <v>13.886215004171834</v>
      </c>
      <c r="AE127" s="31">
        <v>15.648524798571017</v>
      </c>
      <c r="AF127" s="31">
        <v>15.302029544142032</v>
      </c>
      <c r="AG127" s="31">
        <v>19.189749901138146</v>
      </c>
      <c r="AH127" s="31">
        <v>15.448796417864441</v>
      </c>
      <c r="AI127" s="31">
        <v>14.175806377857727</v>
      </c>
      <c r="AJ127" s="31">
        <v>17.109179791231597</v>
      </c>
      <c r="AK127" s="31">
        <v>15.346043793480959</v>
      </c>
      <c r="AL127" s="31">
        <v>14.13367983476982</v>
      </c>
      <c r="AM127" s="31">
        <v>15.146552831063646</v>
      </c>
      <c r="AN127" s="31">
        <v>16.226292564442542</v>
      </c>
      <c r="AO127" s="31">
        <v>15.026533028514763</v>
      </c>
      <c r="AP127" s="31">
        <v>11.982565223127409</v>
      </c>
      <c r="AQ127" s="31">
        <v>14.803609170698392</v>
      </c>
      <c r="AR127" s="31">
        <v>14.655153389194027</v>
      </c>
      <c r="AS127" s="175"/>
      <c r="AT127" s="175"/>
      <c r="AU127" s="175"/>
      <c r="AV127" s="175"/>
      <c r="AW127" s="812"/>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c r="BS127" s="175"/>
      <c r="BT127" s="175"/>
      <c r="BU127" s="175"/>
      <c r="BV127" s="175"/>
    </row>
    <row r="128" spans="1:74" s="68" customFormat="1" ht="45" x14ac:dyDescent="0.4">
      <c r="A128" s="859"/>
      <c r="B128" s="833"/>
      <c r="C128" s="1108" t="s">
        <v>405</v>
      </c>
      <c r="D128" s="884" t="s">
        <v>44</v>
      </c>
      <c r="E128" s="11" t="s">
        <v>406</v>
      </c>
      <c r="F128" s="1042" t="s">
        <v>447</v>
      </c>
      <c r="G128" s="10" t="s">
        <v>433</v>
      </c>
      <c r="H128" s="1042" t="s">
        <v>448</v>
      </c>
      <c r="I128" s="11">
        <f>SUM(I129:I132)</f>
        <v>35.160997298865894</v>
      </c>
      <c r="J128" s="11">
        <f t="shared" ref="J128:AR128" si="40">SUM(J129:J132)</f>
        <v>34.304927334835114</v>
      </c>
      <c r="K128" s="11">
        <f t="shared" si="40"/>
        <v>32.620923202583029</v>
      </c>
      <c r="L128" s="11">
        <f t="shared" si="40"/>
        <v>32.830285565374005</v>
      </c>
      <c r="M128" s="11">
        <f t="shared" si="40"/>
        <v>33.023900141044948</v>
      </c>
      <c r="N128" s="11">
        <f t="shared" si="40"/>
        <v>32.235442470636855</v>
      </c>
      <c r="O128" s="11">
        <f t="shared" si="40"/>
        <v>33.077436167639846</v>
      </c>
      <c r="P128" s="11">
        <f t="shared" si="40"/>
        <v>33.320905126625163</v>
      </c>
      <c r="Q128" s="11">
        <f t="shared" si="40"/>
        <v>34.269296832427649</v>
      </c>
      <c r="R128" s="11">
        <f t="shared" si="40"/>
        <v>33.935992506396602</v>
      </c>
      <c r="S128" s="11">
        <f t="shared" si="40"/>
        <v>33.486672396308791</v>
      </c>
      <c r="T128" s="11">
        <f t="shared" si="40"/>
        <v>34.123913432450365</v>
      </c>
      <c r="U128" s="11">
        <f t="shared" si="40"/>
        <v>33.48535663960746</v>
      </c>
      <c r="V128" s="11">
        <f t="shared" si="40"/>
        <v>33.045415359016751</v>
      </c>
      <c r="W128" s="11">
        <f t="shared" si="40"/>
        <v>33.22951404880051</v>
      </c>
      <c r="X128" s="704">
        <f t="shared" si="40"/>
        <v>32.559458721265422</v>
      </c>
      <c r="Y128" s="11">
        <f t="shared" si="40"/>
        <v>34.076340164241827</v>
      </c>
      <c r="Z128" s="11">
        <f t="shared" si="40"/>
        <v>34.731121213390821</v>
      </c>
      <c r="AA128" s="11">
        <f t="shared" si="40"/>
        <v>34.783547244650265</v>
      </c>
      <c r="AB128" s="11">
        <f t="shared" si="40"/>
        <v>35.067273723406466</v>
      </c>
      <c r="AC128" s="11">
        <f t="shared" si="40"/>
        <v>34.931436791316287</v>
      </c>
      <c r="AD128" s="11">
        <f t="shared" si="40"/>
        <v>35.352247373633134</v>
      </c>
      <c r="AE128" s="11">
        <f t="shared" si="40"/>
        <v>33.751197919460836</v>
      </c>
      <c r="AF128" s="11">
        <f t="shared" si="40"/>
        <v>33.868458054398687</v>
      </c>
      <c r="AG128" s="11">
        <f t="shared" si="40"/>
        <v>35.908708641013519</v>
      </c>
      <c r="AH128" s="11">
        <f t="shared" si="40"/>
        <v>36.783583973898345</v>
      </c>
      <c r="AI128" s="11">
        <f t="shared" si="40"/>
        <v>37.057027103425149</v>
      </c>
      <c r="AJ128" s="11">
        <f t="shared" si="40"/>
        <v>36.658086502207183</v>
      </c>
      <c r="AK128" s="11">
        <f t="shared" si="40"/>
        <v>35.452870393757081</v>
      </c>
      <c r="AL128" s="11">
        <f t="shared" si="40"/>
        <v>34.397695385443861</v>
      </c>
      <c r="AM128" s="11">
        <f t="shared" si="40"/>
        <v>34.117427671166254</v>
      </c>
      <c r="AN128" s="11">
        <f t="shared" si="40"/>
        <v>34.32572665734638</v>
      </c>
      <c r="AO128" s="11">
        <f t="shared" si="40"/>
        <v>34.172859893841725</v>
      </c>
      <c r="AP128" s="11">
        <f t="shared" si="40"/>
        <v>33.529657904548543</v>
      </c>
      <c r="AQ128" s="11">
        <f t="shared" si="40"/>
        <v>32.988824913800755</v>
      </c>
      <c r="AR128" s="11">
        <f t="shared" si="40"/>
        <v>32.395897460630628</v>
      </c>
      <c r="AS128" s="12"/>
      <c r="AT128" s="12"/>
      <c r="AU128" s="12"/>
      <c r="AV128" s="12"/>
      <c r="AW128" s="689"/>
      <c r="AX128" s="12"/>
      <c r="AY128" s="12"/>
      <c r="AZ128" s="12"/>
      <c r="BA128" s="12"/>
      <c r="BB128" s="791"/>
      <c r="BC128" s="12"/>
      <c r="BD128" s="12"/>
      <c r="BE128" s="12"/>
      <c r="BF128" s="12"/>
      <c r="BG128" s="12"/>
      <c r="BH128" s="12"/>
      <c r="BI128" s="12"/>
      <c r="BJ128" s="12"/>
      <c r="BK128" s="12"/>
      <c r="BL128" s="12"/>
      <c r="BM128" s="12"/>
      <c r="BN128" s="12"/>
      <c r="BO128" s="12"/>
      <c r="BP128" s="12"/>
      <c r="BQ128" s="12"/>
      <c r="BR128" s="12"/>
      <c r="BS128" s="12"/>
      <c r="BT128" s="12"/>
      <c r="BU128" s="12"/>
      <c r="BV128" s="12"/>
    </row>
    <row r="129" spans="1:74" s="85" customFormat="1" ht="18" customHeight="1" x14ac:dyDescent="0.4">
      <c r="A129" s="860"/>
      <c r="B129" s="833" t="s">
        <v>422</v>
      </c>
      <c r="C129" s="874" t="s">
        <v>44</v>
      </c>
      <c r="D129" s="884"/>
      <c r="E129" s="31" t="str">
        <f>B129</f>
        <v>3.D.1.b.iAnimal manure applied to soils kt CO2-eq</v>
      </c>
      <c r="F129" s="1021"/>
      <c r="G129" s="39"/>
      <c r="H129" s="1021"/>
      <c r="I129" s="31">
        <v>23.518658446562206</v>
      </c>
      <c r="J129" s="31">
        <v>22.927522790392473</v>
      </c>
      <c r="K129" s="31">
        <v>21.809080092047672</v>
      </c>
      <c r="L129" s="31">
        <v>21.967753382642911</v>
      </c>
      <c r="M129" s="31">
        <v>22.124813405035496</v>
      </c>
      <c r="N129" s="31">
        <v>21.56962702122927</v>
      </c>
      <c r="O129" s="31">
        <v>22.182134749226815</v>
      </c>
      <c r="P129" s="31">
        <v>22.360958668095531</v>
      </c>
      <c r="Q129" s="31">
        <v>22.948693211072147</v>
      </c>
      <c r="R129" s="31">
        <v>22.700936613899799</v>
      </c>
      <c r="S129" s="31">
        <v>22.380540586905617</v>
      </c>
      <c r="T129" s="31">
        <v>22.826020142424355</v>
      </c>
      <c r="U129" s="31">
        <v>22.333285039266883</v>
      </c>
      <c r="V129" s="31">
        <v>21.965625839183275</v>
      </c>
      <c r="W129" s="31">
        <v>22.124743556613858</v>
      </c>
      <c r="X129" s="706">
        <v>21.698675152348155</v>
      </c>
      <c r="Y129" s="31">
        <v>22.756801201489854</v>
      </c>
      <c r="Z129" s="31">
        <v>23.181306270594835</v>
      </c>
      <c r="AA129" s="31">
        <v>23.183484315638498</v>
      </c>
      <c r="AB129" s="31">
        <v>23.198331120773734</v>
      </c>
      <c r="AC129" s="31">
        <v>22.980668014730714</v>
      </c>
      <c r="AD129" s="31">
        <v>23.174802167136605</v>
      </c>
      <c r="AE129" s="31">
        <v>22.152088046872436</v>
      </c>
      <c r="AF129" s="31">
        <v>22.147588384754314</v>
      </c>
      <c r="AG129" s="31">
        <v>23.438238457663537</v>
      </c>
      <c r="AH129" s="31">
        <v>23.993747546410074</v>
      </c>
      <c r="AI129" s="31">
        <v>24.067219774341087</v>
      </c>
      <c r="AJ129" s="31">
        <v>23.82791875595408</v>
      </c>
      <c r="AK129" s="31">
        <v>22.954301029240924</v>
      </c>
      <c r="AL129" s="31">
        <v>22.153511032159113</v>
      </c>
      <c r="AM129" s="31">
        <v>21.931861358516883</v>
      </c>
      <c r="AN129" s="31">
        <v>21.875637469331767</v>
      </c>
      <c r="AO129" s="31">
        <v>21.504897647141728</v>
      </c>
      <c r="AP129" s="31">
        <v>21.061308959866615</v>
      </c>
      <c r="AQ129" s="31">
        <v>20.617340811287178</v>
      </c>
      <c r="AR129" s="31">
        <v>20.337749163399533</v>
      </c>
      <c r="AS129" s="175"/>
      <c r="AT129" s="175"/>
      <c r="AU129" s="175"/>
      <c r="AV129" s="175"/>
      <c r="AW129" s="812"/>
      <c r="AX129" s="175"/>
      <c r="AY129" s="175"/>
      <c r="AZ129" s="175"/>
      <c r="BA129" s="175"/>
      <c r="BB129" s="175"/>
      <c r="BC129" s="175"/>
      <c r="BD129" s="175"/>
      <c r="BE129" s="175"/>
      <c r="BF129" s="175"/>
      <c r="BG129" s="175"/>
      <c r="BH129" s="175"/>
      <c r="BI129" s="175"/>
      <c r="BJ129" s="175"/>
      <c r="BK129" s="175"/>
      <c r="BL129" s="175"/>
      <c r="BM129" s="175"/>
      <c r="BN129" s="175"/>
      <c r="BO129" s="175"/>
      <c r="BP129" s="175"/>
      <c r="BQ129" s="175"/>
      <c r="BR129" s="175"/>
      <c r="BS129" s="175"/>
      <c r="BT129" s="175"/>
      <c r="BU129" s="175"/>
      <c r="BV129" s="175"/>
    </row>
    <row r="130" spans="1:74" s="85" customFormat="1" ht="18" customHeight="1" x14ac:dyDescent="0.4">
      <c r="A130" s="860"/>
      <c r="B130" s="833" t="s">
        <v>423</v>
      </c>
      <c r="C130" s="874" t="s">
        <v>44</v>
      </c>
      <c r="D130" s="884"/>
      <c r="E130" s="31" t="str">
        <f>B130</f>
        <v>3.D.1.b.iiSewage sludge applied to soils kt CO2-eq</v>
      </c>
      <c r="F130" s="1021"/>
      <c r="G130" s="39"/>
      <c r="H130" s="1021"/>
      <c r="I130" s="177">
        <v>0</v>
      </c>
      <c r="J130" s="177">
        <v>0</v>
      </c>
      <c r="K130" s="177">
        <v>0</v>
      </c>
      <c r="L130" s="177">
        <v>0</v>
      </c>
      <c r="M130" s="177">
        <v>0</v>
      </c>
      <c r="N130" s="177">
        <v>0</v>
      </c>
      <c r="O130" s="177">
        <v>0</v>
      </c>
      <c r="P130" s="177">
        <v>0</v>
      </c>
      <c r="Q130" s="177">
        <v>0</v>
      </c>
      <c r="R130" s="177">
        <v>0</v>
      </c>
      <c r="S130" s="177">
        <v>0</v>
      </c>
      <c r="T130" s="177">
        <v>0</v>
      </c>
      <c r="U130" s="177">
        <v>0</v>
      </c>
      <c r="V130" s="177">
        <v>0</v>
      </c>
      <c r="W130" s="177">
        <v>0</v>
      </c>
      <c r="X130" s="1112">
        <v>0</v>
      </c>
      <c r="Y130" s="177">
        <v>0</v>
      </c>
      <c r="Z130" s="177">
        <v>0</v>
      </c>
      <c r="AA130" s="177">
        <v>0</v>
      </c>
      <c r="AB130" s="177">
        <v>0</v>
      </c>
      <c r="AC130" s="177">
        <v>0</v>
      </c>
      <c r="AD130" s="177">
        <v>0</v>
      </c>
      <c r="AE130" s="177">
        <v>1.2517842857142858E-2</v>
      </c>
      <c r="AF130" s="177">
        <v>1.6690457142857138E-2</v>
      </c>
      <c r="AG130" s="177">
        <v>8.3452285714285691E-3</v>
      </c>
      <c r="AH130" s="177">
        <v>7.0239007142857144E-3</v>
      </c>
      <c r="AI130" s="177">
        <v>1.3282822142857142E-2</v>
      </c>
      <c r="AJ130" s="177">
        <v>1.8707220714285714E-2</v>
      </c>
      <c r="AK130" s="177">
        <v>3.059917142857143E-2</v>
      </c>
      <c r="AL130" s="177">
        <v>0.13658357428571427</v>
      </c>
      <c r="AM130" s="177">
        <v>5.7025728571428576E-2</v>
      </c>
      <c r="AN130" s="177">
        <v>6.0641994285714283E-2</v>
      </c>
      <c r="AO130" s="177">
        <v>7.7267775907142858E-2</v>
      </c>
      <c r="AP130" s="177">
        <v>0.18058163607785715</v>
      </c>
      <c r="AQ130" s="177">
        <v>0.1385645924614286</v>
      </c>
      <c r="AR130" s="177">
        <v>0.1385645924614286</v>
      </c>
      <c r="AS130" s="175"/>
      <c r="AT130" s="175"/>
      <c r="AU130" s="175"/>
      <c r="AV130" s="175"/>
      <c r="AW130" s="812"/>
      <c r="AX130" s="175"/>
      <c r="AY130" s="175"/>
      <c r="AZ130" s="175"/>
      <c r="BA130" s="175"/>
      <c r="BB130" s="175"/>
      <c r="BC130" s="175"/>
      <c r="BD130" s="175"/>
      <c r="BE130" s="175"/>
      <c r="BF130" s="175"/>
      <c r="BG130" s="175"/>
      <c r="BH130" s="175"/>
      <c r="BI130" s="175"/>
      <c r="BJ130" s="175"/>
      <c r="BK130" s="175"/>
      <c r="BL130" s="175"/>
      <c r="BM130" s="175"/>
      <c r="BN130" s="175"/>
      <c r="BO130" s="175"/>
      <c r="BP130" s="175"/>
      <c r="BQ130" s="175"/>
      <c r="BR130" s="175"/>
      <c r="BS130" s="175"/>
      <c r="BT130" s="175"/>
      <c r="BU130" s="175"/>
      <c r="BV130" s="175"/>
    </row>
    <row r="131" spans="1:74" s="85" customFormat="1" ht="18" customHeight="1" x14ac:dyDescent="0.4">
      <c r="A131" s="860"/>
      <c r="B131" s="833" t="s">
        <v>424</v>
      </c>
      <c r="C131" s="874" t="s">
        <v>44</v>
      </c>
      <c r="D131" s="884"/>
      <c r="E131" s="31" t="str">
        <f>B131</f>
        <v>3.D.1.b.iiiOther organic fertilizers applied to soils kt CO2-eq</v>
      </c>
      <c r="F131" s="1021"/>
      <c r="G131" s="39"/>
      <c r="H131" s="1021"/>
      <c r="I131" s="177">
        <v>0</v>
      </c>
      <c r="J131" s="177">
        <v>0</v>
      </c>
      <c r="K131" s="177">
        <v>0</v>
      </c>
      <c r="L131" s="177">
        <v>0</v>
      </c>
      <c r="M131" s="177">
        <v>0</v>
      </c>
      <c r="N131" s="177">
        <v>0</v>
      </c>
      <c r="O131" s="177">
        <v>0</v>
      </c>
      <c r="P131" s="177">
        <v>0</v>
      </c>
      <c r="Q131" s="177">
        <v>0</v>
      </c>
      <c r="R131" s="177">
        <v>0</v>
      </c>
      <c r="S131" s="177">
        <v>0</v>
      </c>
      <c r="T131" s="177">
        <v>0</v>
      </c>
      <c r="U131" s="177">
        <v>6.2464285714285715E-2</v>
      </c>
      <c r="V131" s="177">
        <v>0.11239011535714286</v>
      </c>
      <c r="W131" s="177">
        <v>9.3857586428571435E-2</v>
      </c>
      <c r="X131" s="1112">
        <v>8.732569607142858E-2</v>
      </c>
      <c r="Y131" s="177">
        <v>2.9514374999999999E-2</v>
      </c>
      <c r="Z131" s="177">
        <v>3.4980000000000004E-2</v>
      </c>
      <c r="AA131" s="177">
        <v>3.9240064285714291E-2</v>
      </c>
      <c r="AB131" s="177">
        <v>0.24457839017857144</v>
      </c>
      <c r="AC131" s="177">
        <v>0.41476369000000002</v>
      </c>
      <c r="AD131" s="177">
        <v>0.48490931303571444</v>
      </c>
      <c r="AE131" s="177">
        <v>0.46634596839285708</v>
      </c>
      <c r="AF131" s="177">
        <v>0.65661502480357148</v>
      </c>
      <c r="AG131" s="177">
        <v>0.66217964903357163</v>
      </c>
      <c r="AH131" s="177">
        <v>0.65355365224285733</v>
      </c>
      <c r="AI131" s="177">
        <v>0.72364752570000013</v>
      </c>
      <c r="AJ131" s="177">
        <v>0.66838299015714309</v>
      </c>
      <c r="AK131" s="177">
        <v>0.66059037229428563</v>
      </c>
      <c r="AL131" s="177">
        <v>0.65327358528928592</v>
      </c>
      <c r="AM131" s="177">
        <v>0.77185038837500008</v>
      </c>
      <c r="AN131" s="177">
        <v>0.97943149236428595</v>
      </c>
      <c r="AO131" s="177">
        <v>1.2441070560442864</v>
      </c>
      <c r="AP131" s="177">
        <v>1.1266909605678574</v>
      </c>
      <c r="AQ131" s="177">
        <v>1.2632171805628569</v>
      </c>
      <c r="AR131" s="177">
        <v>1.2208405970985716</v>
      </c>
      <c r="AS131" s="175"/>
      <c r="AT131" s="175"/>
      <c r="AU131" s="175"/>
      <c r="AV131" s="175"/>
      <c r="AW131" s="812"/>
      <c r="AX131" s="175"/>
      <c r="AY131" s="175"/>
      <c r="AZ131" s="175"/>
      <c r="BA131" s="175"/>
      <c r="BB131" s="175"/>
      <c r="BC131" s="175"/>
      <c r="BD131" s="175"/>
      <c r="BE131" s="175"/>
      <c r="BF131" s="175"/>
      <c r="BG131" s="175"/>
      <c r="BH131" s="175"/>
      <c r="BI131" s="175"/>
      <c r="BJ131" s="175"/>
      <c r="BK131" s="175"/>
      <c r="BL131" s="175"/>
      <c r="BM131" s="175"/>
      <c r="BN131" s="175"/>
      <c r="BO131" s="175"/>
      <c r="BP131" s="175"/>
      <c r="BQ131" s="175"/>
      <c r="BR131" s="175"/>
      <c r="BS131" s="175"/>
      <c r="BT131" s="175"/>
      <c r="BU131" s="175"/>
      <c r="BV131" s="175"/>
    </row>
    <row r="132" spans="1:74" s="85" customFormat="1" ht="18" customHeight="1" x14ac:dyDescent="0.4">
      <c r="A132" s="860"/>
      <c r="B132" s="833" t="s">
        <v>407</v>
      </c>
      <c r="C132" s="874" t="s">
        <v>44</v>
      </c>
      <c r="D132" s="884"/>
      <c r="E132" s="31" t="str">
        <f t="shared" ref="E132" si="41">B132</f>
        <v>3D2_Organic N Fertilizer_CO2e_kt</v>
      </c>
      <c r="F132" s="1021"/>
      <c r="G132" s="39"/>
      <c r="H132" s="1021"/>
      <c r="I132" s="31">
        <v>11.642338852303688</v>
      </c>
      <c r="J132" s="31">
        <v>11.377404544442637</v>
      </c>
      <c r="K132" s="31">
        <v>10.811843110535355</v>
      </c>
      <c r="L132" s="31">
        <v>10.862532182731096</v>
      </c>
      <c r="M132" s="31">
        <v>10.899086736009449</v>
      </c>
      <c r="N132" s="31">
        <v>10.665815449407585</v>
      </c>
      <c r="O132" s="31">
        <v>10.895301418413034</v>
      </c>
      <c r="P132" s="31">
        <v>10.959946458529636</v>
      </c>
      <c r="Q132" s="31">
        <v>11.320603621355502</v>
      </c>
      <c r="R132" s="31">
        <v>11.235055892496806</v>
      </c>
      <c r="S132" s="31">
        <v>11.106131809403177</v>
      </c>
      <c r="T132" s="31">
        <v>11.297893290026009</v>
      </c>
      <c r="U132" s="31">
        <v>11.089607314626296</v>
      </c>
      <c r="V132" s="31">
        <v>10.96739940447633</v>
      </c>
      <c r="W132" s="31">
        <v>11.010912905758083</v>
      </c>
      <c r="X132" s="706">
        <v>10.773457872845841</v>
      </c>
      <c r="Y132" s="31">
        <v>11.29002458775197</v>
      </c>
      <c r="Z132" s="31">
        <v>11.514834942795982</v>
      </c>
      <c r="AA132" s="31">
        <v>11.560822864726049</v>
      </c>
      <c r="AB132" s="31">
        <v>11.624364212454159</v>
      </c>
      <c r="AC132" s="31">
        <v>11.536005086585575</v>
      </c>
      <c r="AD132" s="31">
        <v>11.692535893460812</v>
      </c>
      <c r="AE132" s="31">
        <v>11.120246061338396</v>
      </c>
      <c r="AF132" s="31">
        <v>11.047564187697946</v>
      </c>
      <c r="AG132" s="31">
        <v>11.799945305744979</v>
      </c>
      <c r="AH132" s="31">
        <v>12.129258874531128</v>
      </c>
      <c r="AI132" s="31">
        <v>12.252876981241204</v>
      </c>
      <c r="AJ132" s="31">
        <v>12.143077535381673</v>
      </c>
      <c r="AK132" s="31">
        <v>11.807379820793297</v>
      </c>
      <c r="AL132" s="31">
        <v>11.454327193709746</v>
      </c>
      <c r="AM132" s="31">
        <v>11.356690195702946</v>
      </c>
      <c r="AN132" s="31">
        <v>11.410015701364618</v>
      </c>
      <c r="AO132" s="31">
        <v>11.346587414748569</v>
      </c>
      <c r="AP132" s="31">
        <v>11.161076348036218</v>
      </c>
      <c r="AQ132" s="31">
        <v>10.969702329489287</v>
      </c>
      <c r="AR132" s="31">
        <v>10.698743107671094</v>
      </c>
      <c r="AS132" s="175"/>
      <c r="AT132" s="175"/>
      <c r="AU132" s="175"/>
      <c r="AV132" s="175"/>
      <c r="AW132" s="812"/>
      <c r="AX132" s="175"/>
      <c r="AY132" s="175"/>
      <c r="AZ132" s="175"/>
      <c r="BA132" s="175"/>
      <c r="BB132" s="175"/>
      <c r="BC132" s="175"/>
      <c r="BD132" s="175"/>
      <c r="BE132" s="175"/>
      <c r="BF132" s="175"/>
      <c r="BG132" s="175"/>
      <c r="BH132" s="175"/>
      <c r="BI132" s="175"/>
      <c r="BJ132" s="175"/>
      <c r="BK132" s="175"/>
      <c r="BL132" s="175"/>
      <c r="BM132" s="175"/>
      <c r="BN132" s="175"/>
      <c r="BO132" s="175"/>
      <c r="BP132" s="175"/>
      <c r="BQ132" s="175"/>
      <c r="BR132" s="175"/>
      <c r="BS132" s="175"/>
      <c r="BT132" s="175"/>
      <c r="BU132" s="175"/>
      <c r="BV132" s="175"/>
    </row>
    <row r="133" spans="1:74" s="68" customFormat="1" ht="30" x14ac:dyDescent="0.4">
      <c r="A133" s="859"/>
      <c r="B133" s="842"/>
      <c r="C133" s="1108" t="s">
        <v>91</v>
      </c>
      <c r="D133" s="890"/>
      <c r="E133" s="11" t="s">
        <v>20</v>
      </c>
      <c r="F133" s="1042" t="s">
        <v>449</v>
      </c>
      <c r="G133" s="10" t="s">
        <v>127</v>
      </c>
      <c r="H133" s="1042" t="s">
        <v>450</v>
      </c>
      <c r="I133" s="11">
        <f>SUM(I134:I137)</f>
        <v>175.81926077168274</v>
      </c>
      <c r="J133" s="11">
        <f t="shared" ref="J133:AQ133" si="42">SUM(J134:J137)</f>
        <v>178.94436640073118</v>
      </c>
      <c r="K133" s="11">
        <f t="shared" si="42"/>
        <v>172.35897672599029</v>
      </c>
      <c r="L133" s="11">
        <f t="shared" si="42"/>
        <v>170.30816758210503</v>
      </c>
      <c r="M133" s="11">
        <f t="shared" si="42"/>
        <v>167.23349961726311</v>
      </c>
      <c r="N133" s="11">
        <f t="shared" si="42"/>
        <v>167.48243508464552</v>
      </c>
      <c r="O133" s="11">
        <f t="shared" si="42"/>
        <v>169.45973935819779</v>
      </c>
      <c r="P133" s="11">
        <f t="shared" si="42"/>
        <v>166.61892286122034</v>
      </c>
      <c r="Q133" s="11">
        <f t="shared" si="42"/>
        <v>170.06144427660954</v>
      </c>
      <c r="R133" s="11">
        <f t="shared" si="42"/>
        <v>166.9377999954836</v>
      </c>
      <c r="S133" s="11">
        <f t="shared" si="42"/>
        <v>162.66278625669992</v>
      </c>
      <c r="T133" s="11">
        <f t="shared" si="42"/>
        <v>158.93242146350846</v>
      </c>
      <c r="U133" s="11">
        <f t="shared" si="42"/>
        <v>153.86361397148849</v>
      </c>
      <c r="V133" s="11">
        <f t="shared" si="42"/>
        <v>150.93550430340912</v>
      </c>
      <c r="W133" s="11">
        <f t="shared" si="42"/>
        <v>148.10213187764896</v>
      </c>
      <c r="X133" s="704">
        <f t="shared" si="42"/>
        <v>149.52852665912786</v>
      </c>
      <c r="Y133" s="11">
        <f t="shared" si="42"/>
        <v>156.62096138189327</v>
      </c>
      <c r="Z133" s="11">
        <f t="shared" si="42"/>
        <v>163.30593081583839</v>
      </c>
      <c r="AA133" s="11">
        <f t="shared" si="42"/>
        <v>167.50842665119373</v>
      </c>
      <c r="AB133" s="11">
        <f t="shared" si="42"/>
        <v>170.04735832542588</v>
      </c>
      <c r="AC133" s="11">
        <f t="shared" si="42"/>
        <v>166.09572079635058</v>
      </c>
      <c r="AD133" s="11">
        <f t="shared" si="42"/>
        <v>165.9110389994697</v>
      </c>
      <c r="AE133" s="11">
        <f t="shared" si="42"/>
        <v>158.93760032115361</v>
      </c>
      <c r="AF133" s="11">
        <f t="shared" si="42"/>
        <v>155.44555486953274</v>
      </c>
      <c r="AG133" s="11">
        <f t="shared" si="42"/>
        <v>169.06615842305951</v>
      </c>
      <c r="AH133" s="11">
        <f t="shared" si="42"/>
        <v>179.60265403523974</v>
      </c>
      <c r="AI133" s="11">
        <f t="shared" si="42"/>
        <v>181.69263144822813</v>
      </c>
      <c r="AJ133" s="11">
        <f t="shared" si="42"/>
        <v>182.3046282123918</v>
      </c>
      <c r="AK133" s="11">
        <f t="shared" si="42"/>
        <v>183.89444606697731</v>
      </c>
      <c r="AL133" s="11">
        <f t="shared" si="42"/>
        <v>184.36698306966656</v>
      </c>
      <c r="AM133" s="11">
        <f t="shared" si="42"/>
        <v>183.63931733813936</v>
      </c>
      <c r="AN133" s="11">
        <f t="shared" si="42"/>
        <v>185.47422373611033</v>
      </c>
      <c r="AO133" s="11">
        <f t="shared" si="42"/>
        <v>189.46401731494771</v>
      </c>
      <c r="AP133" s="11">
        <f t="shared" si="42"/>
        <v>184.22150810784683</v>
      </c>
      <c r="AQ133" s="11">
        <f t="shared" si="42"/>
        <v>184.0574286147274</v>
      </c>
      <c r="AR133" s="11">
        <f>SUM(AR134:AR137)</f>
        <v>183.73286362498627</v>
      </c>
      <c r="AS133" s="12"/>
      <c r="AT133" s="12"/>
      <c r="AU133" s="12"/>
      <c r="AV133" s="12"/>
      <c r="AW133" s="689"/>
      <c r="AX133" s="12"/>
      <c r="AY133" s="12"/>
      <c r="AZ133" s="12"/>
      <c r="BA133" s="12"/>
      <c r="BB133" s="791"/>
      <c r="BC133" s="12"/>
      <c r="BD133" s="12"/>
      <c r="BE133" s="12"/>
      <c r="BF133" s="12"/>
      <c r="BG133" s="12"/>
      <c r="BH133" s="12"/>
      <c r="BI133" s="12"/>
      <c r="BJ133" s="12"/>
      <c r="BK133" s="12"/>
      <c r="BL133" s="12"/>
      <c r="BM133" s="12"/>
      <c r="BN133" s="12"/>
      <c r="BO133" s="12"/>
      <c r="BP133" s="12"/>
      <c r="BQ133" s="12"/>
      <c r="BR133" s="12"/>
      <c r="BS133" s="12"/>
      <c r="BT133" s="12"/>
      <c r="BU133" s="12"/>
      <c r="BV133" s="12"/>
    </row>
    <row r="134" spans="1:74" s="85" customFormat="1" ht="18" customHeight="1" x14ac:dyDescent="0.4">
      <c r="A134" s="860"/>
      <c r="B134" s="833" t="s">
        <v>62</v>
      </c>
      <c r="C134" s="1108" t="s">
        <v>44</v>
      </c>
      <c r="D134" s="883"/>
      <c r="E134" s="31" t="s">
        <v>105</v>
      </c>
      <c r="F134" s="1021"/>
      <c r="G134" s="46" t="s">
        <v>201</v>
      </c>
      <c r="H134" s="1021"/>
      <c r="I134" s="31">
        <v>126.52877437628447</v>
      </c>
      <c r="J134" s="31">
        <v>128.93939552728847</v>
      </c>
      <c r="K134" s="31">
        <v>124.38411046857964</v>
      </c>
      <c r="L134" s="31">
        <v>123.13629237476044</v>
      </c>
      <c r="M134" s="31">
        <v>121.04853770666026</v>
      </c>
      <c r="N134" s="31">
        <v>121.43728994940872</v>
      </c>
      <c r="O134" s="31">
        <v>123.16356551181161</v>
      </c>
      <c r="P134" s="31">
        <v>121.23925715093004</v>
      </c>
      <c r="Q134" s="31">
        <v>123.54633235935556</v>
      </c>
      <c r="R134" s="31">
        <v>121.67979265165519</v>
      </c>
      <c r="S134" s="31">
        <v>118.62710106192299</v>
      </c>
      <c r="T134" s="31">
        <v>116.10256504886596</v>
      </c>
      <c r="U134" s="31">
        <v>112.54812806658924</v>
      </c>
      <c r="V134" s="31">
        <v>110.50144545115138</v>
      </c>
      <c r="W134" s="31">
        <v>108.49497845084414</v>
      </c>
      <c r="X134" s="706">
        <v>109.80493059107019</v>
      </c>
      <c r="Y134" s="31">
        <v>114.82820985444184</v>
      </c>
      <c r="Z134" s="31">
        <v>119.59131547904641</v>
      </c>
      <c r="AA134" s="31">
        <v>122.65565953066</v>
      </c>
      <c r="AB134" s="31">
        <v>124.39545268422178</v>
      </c>
      <c r="AC134" s="31">
        <v>121.49923379085674</v>
      </c>
      <c r="AD134" s="31">
        <v>121.59657279672422</v>
      </c>
      <c r="AE134" s="31">
        <v>116.82357862763796</v>
      </c>
      <c r="AF134" s="31">
        <v>114.50045168114946</v>
      </c>
      <c r="AG134" s="31">
        <v>124.77295335417769</v>
      </c>
      <c r="AH134" s="31">
        <v>132.82180785433474</v>
      </c>
      <c r="AI134" s="31">
        <v>134.70507635170159</v>
      </c>
      <c r="AJ134" s="31">
        <v>135.46728829443913</v>
      </c>
      <c r="AK134" s="31">
        <v>137.16414734246064</v>
      </c>
      <c r="AL134" s="31">
        <v>137.37547836726924</v>
      </c>
      <c r="AM134" s="31">
        <v>137.23299394032608</v>
      </c>
      <c r="AN134" s="31">
        <v>138.0150459304877</v>
      </c>
      <c r="AO134" s="31">
        <v>140.14970946610657</v>
      </c>
      <c r="AP134" s="31">
        <v>137.19070976473319</v>
      </c>
      <c r="AQ134" s="31">
        <v>137.23031376094573</v>
      </c>
      <c r="AR134" s="31">
        <v>137.0445285876645</v>
      </c>
      <c r="AS134" s="12"/>
      <c r="AT134" s="12"/>
      <c r="AU134" s="12"/>
      <c r="AV134" s="12"/>
      <c r="AW134" s="689"/>
      <c r="AX134" s="12"/>
      <c r="AY134" s="12"/>
      <c r="AZ134" s="12"/>
      <c r="BA134" s="12"/>
      <c r="BB134" s="791"/>
      <c r="BC134" s="12"/>
      <c r="BD134" s="12"/>
      <c r="BE134" s="12"/>
      <c r="BF134" s="12"/>
      <c r="BG134" s="12"/>
      <c r="BH134" s="12"/>
      <c r="BI134" s="12"/>
      <c r="BJ134" s="12"/>
      <c r="BK134" s="12"/>
      <c r="BL134" s="12"/>
      <c r="BM134" s="12"/>
      <c r="BN134" s="12"/>
      <c r="BO134" s="12"/>
      <c r="BP134" s="12"/>
      <c r="BQ134" s="12"/>
      <c r="BR134" s="12"/>
      <c r="BS134" s="12"/>
      <c r="BT134" s="12"/>
      <c r="BU134" s="12"/>
      <c r="BV134" s="12"/>
    </row>
    <row r="135" spans="1:74" s="85" customFormat="1" ht="18" customHeight="1" x14ac:dyDescent="0.4">
      <c r="A135" s="860"/>
      <c r="B135" s="833" t="s">
        <v>426</v>
      </c>
      <c r="C135" s="1108" t="s">
        <v>44</v>
      </c>
      <c r="D135" s="883"/>
      <c r="E135" s="31" t="s">
        <v>106</v>
      </c>
      <c r="F135" s="1021"/>
      <c r="G135" s="46" t="s">
        <v>202</v>
      </c>
      <c r="H135" s="1021"/>
      <c r="I135" s="31">
        <v>45.585499549394413</v>
      </c>
      <c r="J135" s="31">
        <v>46.126564660330224</v>
      </c>
      <c r="K135" s="31">
        <v>44.181343809909777</v>
      </c>
      <c r="L135" s="31">
        <v>43.388107079626792</v>
      </c>
      <c r="M135" s="31">
        <v>42.426534631528888</v>
      </c>
      <c r="N135" s="31">
        <v>42.206914746881779</v>
      </c>
      <c r="O135" s="31">
        <v>42.332506038922361</v>
      </c>
      <c r="P135" s="31">
        <v>41.427470830594054</v>
      </c>
      <c r="Q135" s="31">
        <v>42.411001779674507</v>
      </c>
      <c r="R135" s="31">
        <v>41.149487573699325</v>
      </c>
      <c r="S135" s="31">
        <v>39.934939424404973</v>
      </c>
      <c r="T135" s="31">
        <v>38.778702228096968</v>
      </c>
      <c r="U135" s="31">
        <v>37.332220153019335</v>
      </c>
      <c r="V135" s="31">
        <v>36.433106802548622</v>
      </c>
      <c r="W135" s="31">
        <v>35.561662947857627</v>
      </c>
      <c r="X135" s="706">
        <v>35.82264636443896</v>
      </c>
      <c r="Y135" s="31">
        <v>37.686340317107081</v>
      </c>
      <c r="Z135" s="31">
        <v>39.451682207013164</v>
      </c>
      <c r="AA135" s="31">
        <v>40.468911725918844</v>
      </c>
      <c r="AB135" s="31">
        <v>41.209102045239938</v>
      </c>
      <c r="AC135" s="31">
        <v>40.114834764384291</v>
      </c>
      <c r="AD135" s="31">
        <v>39.813569556678495</v>
      </c>
      <c r="AE135" s="31">
        <v>37.782133689410543</v>
      </c>
      <c r="AF135" s="31">
        <v>36.679126323706186</v>
      </c>
      <c r="AG135" s="31">
        <v>39.616785464011471</v>
      </c>
      <c r="AH135" s="31">
        <v>41.779093929006038</v>
      </c>
      <c r="AI135" s="31">
        <v>41.880350088778869</v>
      </c>
      <c r="AJ135" s="31">
        <v>41.671891423745279</v>
      </c>
      <c r="AK135" s="31">
        <v>41.513845531527167</v>
      </c>
      <c r="AL135" s="31">
        <v>41.877357129688392</v>
      </c>
      <c r="AM135" s="31">
        <v>41.265017060786633</v>
      </c>
      <c r="AN135" s="31">
        <v>42.281330051051832</v>
      </c>
      <c r="AO135" s="31">
        <v>44.193218965214399</v>
      </c>
      <c r="AP135" s="31">
        <v>41.932147481263378</v>
      </c>
      <c r="AQ135" s="31">
        <v>41.764497717430864</v>
      </c>
      <c r="AR135" s="31">
        <v>41.718607003371631</v>
      </c>
      <c r="AS135" s="12"/>
      <c r="AT135" s="12"/>
      <c r="AU135" s="12"/>
      <c r="AV135" s="12"/>
      <c r="AW135" s="689"/>
      <c r="AX135" s="12"/>
      <c r="AY135" s="12"/>
      <c r="AZ135" s="12"/>
      <c r="BA135" s="12"/>
      <c r="BB135" s="791"/>
      <c r="BC135" s="12"/>
      <c r="BD135" s="12"/>
      <c r="BE135" s="12"/>
      <c r="BF135" s="12"/>
      <c r="BG135" s="12"/>
      <c r="BH135" s="12"/>
      <c r="BI135" s="12"/>
      <c r="BJ135" s="12"/>
      <c r="BK135" s="12"/>
      <c r="BL135" s="12"/>
      <c r="BM135" s="12"/>
      <c r="BN135" s="12"/>
      <c r="BO135" s="12"/>
      <c r="BP135" s="12"/>
      <c r="BQ135" s="12"/>
      <c r="BR135" s="12"/>
      <c r="BS135" s="12"/>
      <c r="BT135" s="12"/>
      <c r="BU135" s="12"/>
      <c r="BV135" s="12"/>
    </row>
    <row r="136" spans="1:74" s="85" customFormat="1" ht="18" customHeight="1" x14ac:dyDescent="0.4">
      <c r="A136" s="860"/>
      <c r="B136" s="833" t="s">
        <v>425</v>
      </c>
      <c r="C136" s="1108" t="s">
        <v>44</v>
      </c>
      <c r="D136" s="883"/>
      <c r="E136" s="31" t="s">
        <v>107</v>
      </c>
      <c r="F136" s="1021"/>
      <c r="G136" s="46" t="s">
        <v>203</v>
      </c>
      <c r="H136" s="1021"/>
      <c r="I136" s="1098">
        <v>0.17120135817979526</v>
      </c>
      <c r="J136" s="1098">
        <v>0.22465963477984571</v>
      </c>
      <c r="K136" s="1098">
        <v>0.24252189656621331</v>
      </c>
      <c r="L136" s="1098">
        <v>0.26708358828269002</v>
      </c>
      <c r="M136" s="1098">
        <v>0.2825508935637292</v>
      </c>
      <c r="N136" s="1098">
        <v>0.31629511813045702</v>
      </c>
      <c r="O136" s="1098">
        <v>0.35799339093362303</v>
      </c>
      <c r="P136" s="1098">
        <v>0.38014054291619259</v>
      </c>
      <c r="Q136" s="1098">
        <v>0.42655300288110171</v>
      </c>
      <c r="R136" s="1098">
        <v>0.45816833019556324</v>
      </c>
      <c r="S136" s="1098">
        <v>0.48130724551784132</v>
      </c>
      <c r="T136" s="1098">
        <v>0.49933074283118423</v>
      </c>
      <c r="U136" s="1098">
        <v>0.50910890195883962</v>
      </c>
      <c r="V136" s="1098">
        <v>0.53703945202855286</v>
      </c>
      <c r="W136" s="1098">
        <v>0.572841732526432</v>
      </c>
      <c r="X136" s="1113">
        <v>0.57160229701013865</v>
      </c>
      <c r="Y136" s="1098">
        <v>0.6344916170613164</v>
      </c>
      <c r="Z136" s="1098">
        <v>0.6712216739612612</v>
      </c>
      <c r="AA136" s="1098">
        <v>0.70801267233973941</v>
      </c>
      <c r="AB136" s="1098">
        <v>0.74319085919976191</v>
      </c>
      <c r="AC136" s="1098">
        <v>0.78151462564812924</v>
      </c>
      <c r="AD136" s="1098">
        <v>0.80554237563470776</v>
      </c>
      <c r="AE136" s="1098">
        <v>0.79726318980070965</v>
      </c>
      <c r="AF136" s="1098">
        <v>0.80614422095993277</v>
      </c>
      <c r="AG136" s="1098">
        <v>0.91611196459232813</v>
      </c>
      <c r="AH136" s="1098">
        <v>1.0010007276529724</v>
      </c>
      <c r="AI136" s="1098">
        <v>1.0414564081767586</v>
      </c>
      <c r="AJ136" s="1098">
        <v>1.0829594924752952</v>
      </c>
      <c r="AK136" s="1098">
        <v>1.1142763159519624</v>
      </c>
      <c r="AL136" s="1098">
        <v>1.1118498589889252</v>
      </c>
      <c r="AM136" s="1098">
        <v>1.1231171944911433</v>
      </c>
      <c r="AN136" s="1098">
        <v>1.1246788115675634</v>
      </c>
      <c r="AO136" s="1098">
        <v>1.094842340703239</v>
      </c>
      <c r="AP136" s="1098">
        <v>1.089279504747442</v>
      </c>
      <c r="AQ136" s="1098">
        <v>1.0812962014244125</v>
      </c>
      <c r="AR136" s="177">
        <v>1.0735532796183889</v>
      </c>
      <c r="AS136" s="12"/>
      <c r="AT136" s="12"/>
      <c r="AU136" s="12"/>
      <c r="AV136" s="12"/>
      <c r="AW136" s="689"/>
      <c r="AX136" s="12"/>
      <c r="AY136" s="12"/>
      <c r="AZ136" s="12"/>
      <c r="BA136" s="12"/>
      <c r="BB136" s="791"/>
      <c r="BC136" s="12"/>
      <c r="BD136" s="12"/>
      <c r="BE136" s="12"/>
      <c r="BF136" s="12"/>
      <c r="BG136" s="12"/>
      <c r="BH136" s="12"/>
      <c r="BI136" s="12"/>
      <c r="BJ136" s="12"/>
      <c r="BK136" s="12"/>
      <c r="BL136" s="12"/>
      <c r="BM136" s="12"/>
      <c r="BN136" s="12"/>
      <c r="BO136" s="12"/>
      <c r="BP136" s="12"/>
      <c r="BQ136" s="12"/>
      <c r="BR136" s="12"/>
      <c r="BS136" s="12"/>
      <c r="BT136" s="12"/>
      <c r="BU136" s="12"/>
      <c r="BV136" s="12"/>
    </row>
    <row r="137" spans="1:74" s="85" customFormat="1" ht="18" customHeight="1" x14ac:dyDescent="0.4">
      <c r="A137" s="860"/>
      <c r="B137" s="833" t="s">
        <v>408</v>
      </c>
      <c r="C137" s="1108" t="s">
        <v>44</v>
      </c>
      <c r="D137" s="883"/>
      <c r="E137" s="31" t="s">
        <v>409</v>
      </c>
      <c r="F137" s="1020"/>
      <c r="G137" s="46" t="s">
        <v>410</v>
      </c>
      <c r="H137" s="1021"/>
      <c r="I137" s="1098">
        <v>3.5337854878240491</v>
      </c>
      <c r="J137" s="1098">
        <v>3.6537465783326555</v>
      </c>
      <c r="K137" s="1098">
        <v>3.5510005509346581</v>
      </c>
      <c r="L137" s="1098">
        <v>3.5166845394350776</v>
      </c>
      <c r="M137" s="1098">
        <v>3.4758763855102592</v>
      </c>
      <c r="N137" s="1098">
        <v>3.5219352702245685</v>
      </c>
      <c r="O137" s="1098">
        <v>3.6056744165302077</v>
      </c>
      <c r="P137" s="1098">
        <v>3.5720543367800319</v>
      </c>
      <c r="Q137" s="1098">
        <v>3.6775571346983629</v>
      </c>
      <c r="R137" s="1098">
        <v>3.6503514399335133</v>
      </c>
      <c r="S137" s="1098">
        <v>3.6194385248541101</v>
      </c>
      <c r="T137" s="1098">
        <v>3.5518234437143823</v>
      </c>
      <c r="U137" s="1098">
        <v>3.4741568499210671</v>
      </c>
      <c r="V137" s="1098">
        <v>3.463912597680542</v>
      </c>
      <c r="W137" s="1098">
        <v>3.4726487464207505</v>
      </c>
      <c r="X137" s="1113">
        <v>3.3293474066085689</v>
      </c>
      <c r="Y137" s="1098">
        <v>3.4719195932830313</v>
      </c>
      <c r="Z137" s="1098">
        <v>3.5917114558175327</v>
      </c>
      <c r="AA137" s="1098">
        <v>3.6758427222751271</v>
      </c>
      <c r="AB137" s="1098">
        <v>3.6996127367644136</v>
      </c>
      <c r="AC137" s="1098">
        <v>3.7001376154614176</v>
      </c>
      <c r="AD137" s="1098">
        <v>3.695354270432281</v>
      </c>
      <c r="AE137" s="1098">
        <v>3.5346248143044026</v>
      </c>
      <c r="AF137" s="1098">
        <v>3.4598326437171676</v>
      </c>
      <c r="AG137" s="1098">
        <v>3.7603076402780204</v>
      </c>
      <c r="AH137" s="1098">
        <v>4.0007515242460068</v>
      </c>
      <c r="AI137" s="1098">
        <v>4.0657485995708837</v>
      </c>
      <c r="AJ137" s="1098">
        <v>4.0824890017321085</v>
      </c>
      <c r="AK137" s="1098">
        <v>4.102176877037528</v>
      </c>
      <c r="AL137" s="1098">
        <v>4.0022977137199831</v>
      </c>
      <c r="AM137" s="1098">
        <v>4.0181891425355154</v>
      </c>
      <c r="AN137" s="1098">
        <v>4.0531689430032047</v>
      </c>
      <c r="AO137" s="1098">
        <v>4.0262465429234897</v>
      </c>
      <c r="AP137" s="1098">
        <v>4.0093713571028253</v>
      </c>
      <c r="AQ137" s="1098">
        <v>3.981320934926408</v>
      </c>
      <c r="AR137" s="1098">
        <v>3.8961747543317551</v>
      </c>
      <c r="AS137" s="12"/>
      <c r="AT137" s="12"/>
      <c r="AU137" s="12"/>
      <c r="AV137" s="12"/>
      <c r="AW137" s="689"/>
      <c r="AX137" s="12"/>
      <c r="AY137" s="12"/>
      <c r="AZ137" s="12"/>
      <c r="BA137" s="12"/>
      <c r="BB137" s="791"/>
      <c r="BC137" s="12"/>
      <c r="BD137" s="12"/>
      <c r="BE137" s="12"/>
      <c r="BF137" s="12"/>
      <c r="BG137" s="12"/>
      <c r="BH137" s="12"/>
      <c r="BI137" s="12"/>
      <c r="BJ137" s="12"/>
      <c r="BK137" s="12"/>
      <c r="BL137" s="12"/>
      <c r="BM137" s="12"/>
      <c r="BN137" s="12"/>
      <c r="BO137" s="12"/>
      <c r="BP137" s="12"/>
      <c r="BQ137" s="12"/>
      <c r="BR137" s="12"/>
      <c r="BS137" s="12"/>
      <c r="BT137" s="12"/>
      <c r="BU137" s="12"/>
      <c r="BV137" s="12"/>
    </row>
    <row r="138" spans="1:74" s="68" customFormat="1" ht="30" x14ac:dyDescent="0.4">
      <c r="A138" s="859"/>
      <c r="B138" s="842"/>
      <c r="C138" s="1108" t="s">
        <v>92</v>
      </c>
      <c r="D138" s="890"/>
      <c r="E138" s="11" t="s">
        <v>21</v>
      </c>
      <c r="F138" s="1042" t="s">
        <v>449</v>
      </c>
      <c r="G138" s="10" t="s">
        <v>128</v>
      </c>
      <c r="H138" s="1042" t="s">
        <v>450</v>
      </c>
      <c r="I138" s="11">
        <f>SUM(I139:I142)</f>
        <v>217.17875259423406</v>
      </c>
      <c r="J138" s="11">
        <f t="shared" ref="J138:AQ138" si="43">SUM(J139:J142)</f>
        <v>201.22102543847643</v>
      </c>
      <c r="K138" s="11">
        <f t="shared" si="43"/>
        <v>191.47026234998023</v>
      </c>
      <c r="L138" s="11">
        <f t="shared" si="43"/>
        <v>191.70154113935146</v>
      </c>
      <c r="M138" s="11">
        <f t="shared" si="43"/>
        <v>195.23015412285</v>
      </c>
      <c r="N138" s="11">
        <f t="shared" si="43"/>
        <v>178.93659657886565</v>
      </c>
      <c r="O138" s="11">
        <f t="shared" si="43"/>
        <v>180.58617465551742</v>
      </c>
      <c r="P138" s="11">
        <f t="shared" si="43"/>
        <v>184.98841693556886</v>
      </c>
      <c r="Q138" s="11">
        <f t="shared" si="43"/>
        <v>190.52959465004272</v>
      </c>
      <c r="R138" s="11">
        <f t="shared" si="43"/>
        <v>188.96795786184703</v>
      </c>
      <c r="S138" s="11">
        <f t="shared" si="43"/>
        <v>180.34583876595556</v>
      </c>
      <c r="T138" s="11">
        <f t="shared" si="43"/>
        <v>182.79328183342352</v>
      </c>
      <c r="U138" s="11">
        <f t="shared" si="43"/>
        <v>181.37880835190472</v>
      </c>
      <c r="V138" s="11">
        <f t="shared" si="43"/>
        <v>178.54680863800522</v>
      </c>
      <c r="W138" s="11">
        <f t="shared" si="43"/>
        <v>175.29991488630642</v>
      </c>
      <c r="X138" s="704">
        <f t="shared" si="43"/>
        <v>174.49022949748732</v>
      </c>
      <c r="Y138" s="11">
        <f t="shared" si="43"/>
        <v>175.63177806795949</v>
      </c>
      <c r="Z138" s="11">
        <f t="shared" si="43"/>
        <v>176.01426110518685</v>
      </c>
      <c r="AA138" s="11">
        <f t="shared" si="43"/>
        <v>177.33719535017809</v>
      </c>
      <c r="AB138" s="11">
        <f t="shared" si="43"/>
        <v>182.1880115947267</v>
      </c>
      <c r="AC138" s="11">
        <f t="shared" si="43"/>
        <v>186.00530228521447</v>
      </c>
      <c r="AD138" s="11">
        <f t="shared" si="43"/>
        <v>183.7008294215851</v>
      </c>
      <c r="AE138" s="11">
        <f t="shared" si="43"/>
        <v>182.26214152366572</v>
      </c>
      <c r="AF138" s="11">
        <f t="shared" si="43"/>
        <v>179.47640650077497</v>
      </c>
      <c r="AG138" s="11">
        <f t="shared" si="43"/>
        <v>186.31143854687684</v>
      </c>
      <c r="AH138" s="11">
        <f t="shared" si="43"/>
        <v>180.76036847168768</v>
      </c>
      <c r="AI138" s="11">
        <f t="shared" si="43"/>
        <v>181.30657380977232</v>
      </c>
      <c r="AJ138" s="11">
        <f t="shared" si="43"/>
        <v>173.76515867462908</v>
      </c>
      <c r="AK138" s="11">
        <f t="shared" si="43"/>
        <v>164.94688491567311</v>
      </c>
      <c r="AL138" s="11">
        <f t="shared" si="43"/>
        <v>154.00492892508129</v>
      </c>
      <c r="AM138" s="11">
        <f t="shared" si="43"/>
        <v>148.01166906222272</v>
      </c>
      <c r="AN138" s="11">
        <f t="shared" si="43"/>
        <v>147.33808831486735</v>
      </c>
      <c r="AO138" s="11">
        <f t="shared" si="43"/>
        <v>140.6686927320907</v>
      </c>
      <c r="AP138" s="11">
        <f t="shared" si="43"/>
        <v>137.46470761305574</v>
      </c>
      <c r="AQ138" s="11">
        <f t="shared" si="43"/>
        <v>132.160281122463</v>
      </c>
      <c r="AR138" s="11">
        <f>SUM(AR139:AR142)</f>
        <v>132.03335646721749</v>
      </c>
      <c r="AS138" s="12"/>
      <c r="AT138" s="12"/>
      <c r="AU138" s="12"/>
      <c r="AV138" s="12"/>
      <c r="AW138" s="689"/>
      <c r="AX138" s="12"/>
      <c r="AY138" s="12"/>
      <c r="AZ138" s="12"/>
      <c r="BA138" s="12"/>
      <c r="BB138" s="791"/>
      <c r="BC138" s="12"/>
      <c r="BD138" s="12"/>
      <c r="BE138" s="12"/>
      <c r="BF138" s="12"/>
      <c r="BG138" s="12"/>
      <c r="BH138" s="12"/>
      <c r="BI138" s="12"/>
      <c r="BJ138" s="12"/>
      <c r="BK138" s="12"/>
      <c r="BL138" s="12"/>
      <c r="BM138" s="12"/>
      <c r="BN138" s="12"/>
      <c r="BO138" s="12"/>
      <c r="BP138" s="12"/>
      <c r="BQ138" s="12"/>
      <c r="BR138" s="12"/>
      <c r="BS138" s="12"/>
      <c r="BT138" s="12"/>
      <c r="BU138" s="12"/>
      <c r="BV138" s="12"/>
    </row>
    <row r="139" spans="1:74" s="85" customFormat="1" ht="18" customHeight="1" x14ac:dyDescent="0.4">
      <c r="A139" s="860"/>
      <c r="B139" s="833" t="s">
        <v>63</v>
      </c>
      <c r="C139" s="1108" t="s">
        <v>44</v>
      </c>
      <c r="D139" s="883"/>
      <c r="E139" s="31" t="s">
        <v>105</v>
      </c>
      <c r="F139" s="1021"/>
      <c r="G139" s="46" t="s">
        <v>201</v>
      </c>
      <c r="H139" s="1021"/>
      <c r="I139" s="31">
        <v>186.77572926076743</v>
      </c>
      <c r="J139" s="31">
        <v>172.97803462347093</v>
      </c>
      <c r="K139" s="31">
        <v>164.58683049833436</v>
      </c>
      <c r="L139" s="31">
        <v>164.81243571188273</v>
      </c>
      <c r="M139" s="31">
        <v>167.83123360254041</v>
      </c>
      <c r="N139" s="31">
        <v>153.85985508192161</v>
      </c>
      <c r="O139" s="31">
        <v>155.26206438956453</v>
      </c>
      <c r="P139" s="31">
        <v>159.02384548194252</v>
      </c>
      <c r="Q139" s="31">
        <v>163.74675578554164</v>
      </c>
      <c r="R139" s="31">
        <v>162.53137834796257</v>
      </c>
      <c r="S139" s="31">
        <v>155.02748404620789</v>
      </c>
      <c r="T139" s="31">
        <v>157.13027549529841</v>
      </c>
      <c r="U139" s="31">
        <v>155.87484921626219</v>
      </c>
      <c r="V139" s="31">
        <v>153.44638689972908</v>
      </c>
      <c r="W139" s="31">
        <v>150.39686489212946</v>
      </c>
      <c r="X139" s="706">
        <v>150.21967278189845</v>
      </c>
      <c r="Y139" s="31">
        <v>151.02032735254272</v>
      </c>
      <c r="Z139" s="31">
        <v>151.51318559175135</v>
      </c>
      <c r="AA139" s="31">
        <v>152.65234177606885</v>
      </c>
      <c r="AB139" s="31">
        <v>156.92919462045739</v>
      </c>
      <c r="AC139" s="31">
        <v>160.14259786949646</v>
      </c>
      <c r="AD139" s="31">
        <v>158.36057154125416</v>
      </c>
      <c r="AE139" s="31">
        <v>157.17500116030777</v>
      </c>
      <c r="AF139" s="31">
        <v>154.90637103669249</v>
      </c>
      <c r="AG139" s="31">
        <v>160.99128019055647</v>
      </c>
      <c r="AH139" s="31">
        <v>156.39650983647752</v>
      </c>
      <c r="AI139" s="31">
        <v>157.0219895347538</v>
      </c>
      <c r="AJ139" s="31">
        <v>150.48888210710965</v>
      </c>
      <c r="AK139" s="31">
        <v>143.14127586288129</v>
      </c>
      <c r="AL139" s="31">
        <v>133.48432206080446</v>
      </c>
      <c r="AM139" s="31">
        <v>128.3537004884181</v>
      </c>
      <c r="AN139" s="31">
        <v>127.5718490624364</v>
      </c>
      <c r="AO139" s="31">
        <v>121.75791224549427</v>
      </c>
      <c r="AP139" s="31">
        <v>119.08253031994052</v>
      </c>
      <c r="AQ139" s="31">
        <v>114.74008950298347</v>
      </c>
      <c r="AR139" s="31">
        <v>114.63598042550572</v>
      </c>
      <c r="AS139" s="12"/>
      <c r="AT139" s="12"/>
      <c r="AU139" s="12"/>
      <c r="AV139" s="12"/>
      <c r="AW139" s="689"/>
      <c r="AX139" s="12"/>
      <c r="AY139" s="12"/>
      <c r="AZ139" s="12"/>
      <c r="BA139" s="12"/>
      <c r="BB139" s="791"/>
      <c r="BC139" s="12"/>
      <c r="BD139" s="12"/>
      <c r="BE139" s="12"/>
      <c r="BF139" s="12"/>
      <c r="BG139" s="12"/>
      <c r="BH139" s="12"/>
      <c r="BI139" s="12"/>
      <c r="BJ139" s="12"/>
      <c r="BK139" s="12"/>
      <c r="BL139" s="12"/>
      <c r="BM139" s="12"/>
      <c r="BN139" s="12"/>
      <c r="BO139" s="12"/>
      <c r="BP139" s="12"/>
      <c r="BQ139" s="12"/>
      <c r="BR139" s="12"/>
      <c r="BS139" s="12"/>
      <c r="BT139" s="12"/>
      <c r="BU139" s="12"/>
      <c r="BV139" s="12"/>
    </row>
    <row r="140" spans="1:74" s="85" customFormat="1" ht="18" customHeight="1" x14ac:dyDescent="0.4">
      <c r="A140" s="860"/>
      <c r="B140" s="833" t="s">
        <v>428</v>
      </c>
      <c r="C140" s="1108" t="s">
        <v>44</v>
      </c>
      <c r="D140" s="883"/>
      <c r="E140" s="31" t="s">
        <v>106</v>
      </c>
      <c r="F140" s="1021"/>
      <c r="G140" s="46" t="s">
        <v>202</v>
      </c>
      <c r="H140" s="1021"/>
      <c r="I140" s="177">
        <v>16.338164294487367</v>
      </c>
      <c r="J140" s="177">
        <v>15.100385982200933</v>
      </c>
      <c r="K140" s="177">
        <v>14.301389006565502</v>
      </c>
      <c r="L140" s="177">
        <v>14.234164745462875</v>
      </c>
      <c r="M140" s="177">
        <v>14.430380848411945</v>
      </c>
      <c r="N140" s="177">
        <v>13.14282072323202</v>
      </c>
      <c r="O140" s="177">
        <v>13.204476004820878</v>
      </c>
      <c r="P140" s="177">
        <v>13.468839382314286</v>
      </c>
      <c r="Q140" s="177">
        <v>13.904379010604694</v>
      </c>
      <c r="R140" s="177">
        <v>13.565466621843335</v>
      </c>
      <c r="S140" s="177">
        <v>12.957725973238537</v>
      </c>
      <c r="T140" s="177">
        <v>13.049607013010498</v>
      </c>
      <c r="U140" s="177">
        <v>12.910442588693684</v>
      </c>
      <c r="V140" s="177">
        <v>12.638352734997358</v>
      </c>
      <c r="W140" s="177">
        <v>12.301780809259377</v>
      </c>
      <c r="X140" s="1112">
        <v>12.286950988685632</v>
      </c>
      <c r="Y140" s="177">
        <v>12.39942979928065</v>
      </c>
      <c r="Z140" s="177">
        <v>12.478223041319103</v>
      </c>
      <c r="AA140" s="177">
        <v>12.609761304116697</v>
      </c>
      <c r="AB140" s="177">
        <v>13.017453703241046</v>
      </c>
      <c r="AC140" s="177">
        <v>13.230151044010091</v>
      </c>
      <c r="AD140" s="177">
        <v>12.935029012204964</v>
      </c>
      <c r="AE140" s="177">
        <v>12.771950316932317</v>
      </c>
      <c r="AF140" s="177">
        <v>12.478727731924842</v>
      </c>
      <c r="AG140" s="177">
        <v>12.830935299778234</v>
      </c>
      <c r="AH140" s="177">
        <v>12.319045203869567</v>
      </c>
      <c r="AI140" s="177">
        <v>12.249395165722001</v>
      </c>
      <c r="AJ140" s="177">
        <v>11.705744508355625</v>
      </c>
      <c r="AK140" s="177">
        <v>10.94410271547004</v>
      </c>
      <c r="AL140" s="177">
        <v>10.264081329876378</v>
      </c>
      <c r="AM140" s="177">
        <v>9.8323575175209363</v>
      </c>
      <c r="AN140" s="177">
        <v>10.010364894671554</v>
      </c>
      <c r="AO140" s="177">
        <v>9.5736460672552823</v>
      </c>
      <c r="AP140" s="177">
        <v>9.3092950972998825</v>
      </c>
      <c r="AQ140" s="177">
        <v>8.7050609328056829</v>
      </c>
      <c r="AR140" s="177">
        <v>8.6996628957663642</v>
      </c>
      <c r="AS140" s="12"/>
      <c r="AT140" s="12"/>
      <c r="AU140" s="12"/>
      <c r="AV140" s="12"/>
      <c r="AW140" s="689"/>
      <c r="AX140" s="12"/>
      <c r="AY140" s="12"/>
      <c r="AZ140" s="12"/>
      <c r="BA140" s="12"/>
      <c r="BB140" s="791"/>
      <c r="BC140" s="12"/>
      <c r="BD140" s="12"/>
      <c r="BE140" s="12"/>
      <c r="BF140" s="12"/>
      <c r="BG140" s="12"/>
      <c r="BH140" s="12"/>
      <c r="BI140" s="12"/>
      <c r="BJ140" s="12"/>
      <c r="BK140" s="12"/>
      <c r="BL140" s="12"/>
      <c r="BM140" s="12"/>
      <c r="BN140" s="12"/>
      <c r="BO140" s="12"/>
      <c r="BP140" s="12"/>
      <c r="BQ140" s="12"/>
      <c r="BR140" s="12"/>
      <c r="BS140" s="12"/>
      <c r="BT140" s="12"/>
      <c r="BU140" s="12"/>
      <c r="BV140" s="12"/>
    </row>
    <row r="141" spans="1:74" s="85" customFormat="1" ht="18" customHeight="1" x14ac:dyDescent="0.4">
      <c r="A141" s="860"/>
      <c r="B141" s="833" t="s">
        <v>427</v>
      </c>
      <c r="C141" s="1108" t="s">
        <v>44</v>
      </c>
      <c r="D141" s="883"/>
      <c r="E141" s="31" t="s">
        <v>107</v>
      </c>
      <c r="F141" s="1021"/>
      <c r="G141" s="46" t="s">
        <v>203</v>
      </c>
      <c r="H141" s="1021"/>
      <c r="I141" s="177">
        <v>11.233729820041884</v>
      </c>
      <c r="J141" s="177">
        <v>10.497613632479446</v>
      </c>
      <c r="K141" s="177">
        <v>10.050278395976894</v>
      </c>
      <c r="L141" s="177">
        <v>10.108898573043282</v>
      </c>
      <c r="M141" s="177">
        <v>10.359857399881797</v>
      </c>
      <c r="N141" s="177">
        <v>9.5336599005705196</v>
      </c>
      <c r="O141" s="177">
        <v>9.6824392337568987</v>
      </c>
      <c r="P141" s="177">
        <v>9.9832562486615419</v>
      </c>
      <c r="Q141" s="177">
        <v>10.289444636458059</v>
      </c>
      <c r="R141" s="177">
        <v>10.283494446470215</v>
      </c>
      <c r="S141" s="177">
        <v>9.8769863018674986</v>
      </c>
      <c r="T141" s="177">
        <v>10.079368672872805</v>
      </c>
      <c r="U141" s="177">
        <v>10.064353642271826</v>
      </c>
      <c r="V141" s="177">
        <v>9.9597974562070917</v>
      </c>
      <c r="W141" s="177">
        <v>10.074522273236894</v>
      </c>
      <c r="X141" s="1112">
        <v>9.5748377098814377</v>
      </c>
      <c r="Y141" s="177">
        <v>9.7593887916321709</v>
      </c>
      <c r="Z141" s="177">
        <v>9.6062514139960147</v>
      </c>
      <c r="AA141" s="177">
        <v>9.6480269593376473</v>
      </c>
      <c r="AB141" s="177">
        <v>9.7794499952585259</v>
      </c>
      <c r="AC141" s="177">
        <v>10.093894192899077</v>
      </c>
      <c r="AD141" s="177">
        <v>9.9111687370392971</v>
      </c>
      <c r="AE141" s="177">
        <v>9.8386319779237521</v>
      </c>
      <c r="AF141" s="177">
        <v>9.6588005037345095</v>
      </c>
      <c r="AG141" s="177">
        <v>9.9753925945400823</v>
      </c>
      <c r="AH141" s="177">
        <v>9.6193229241907936</v>
      </c>
      <c r="AI141" s="177">
        <v>9.6106996359360224</v>
      </c>
      <c r="AJ141" s="177">
        <v>9.2392317821927978</v>
      </c>
      <c r="AK141" s="177">
        <v>8.6726603888412477</v>
      </c>
      <c r="AL141" s="177">
        <v>8.1875939062908234</v>
      </c>
      <c r="AM141" s="177">
        <v>7.8428461013142536</v>
      </c>
      <c r="AN141" s="177">
        <v>7.7907232326519056</v>
      </c>
      <c r="AO141" s="177">
        <v>7.456434097148211</v>
      </c>
      <c r="AP141" s="177">
        <v>7.2458072059664715</v>
      </c>
      <c r="AQ141" s="177">
        <v>6.9587517033923731</v>
      </c>
      <c r="AR141" s="177">
        <v>6.9548672102305868</v>
      </c>
      <c r="AS141" s="12"/>
      <c r="AT141" s="12"/>
      <c r="AU141" s="12"/>
      <c r="AV141" s="12"/>
      <c r="AW141" s="689"/>
      <c r="AX141" s="12"/>
      <c r="AY141" s="12"/>
      <c r="AZ141" s="12"/>
      <c r="BA141" s="12"/>
      <c r="BB141" s="791"/>
      <c r="BC141" s="12"/>
      <c r="BD141" s="12"/>
      <c r="BE141" s="12"/>
      <c r="BF141" s="12"/>
      <c r="BG141" s="12"/>
      <c r="BH141" s="12"/>
      <c r="BI141" s="12"/>
      <c r="BJ141" s="12"/>
      <c r="BK141" s="12"/>
      <c r="BL141" s="12"/>
      <c r="BM141" s="12"/>
      <c r="BN141" s="12"/>
      <c r="BO141" s="12"/>
      <c r="BP141" s="12"/>
      <c r="BQ141" s="12"/>
      <c r="BR141" s="12"/>
      <c r="BS141" s="12"/>
      <c r="BT141" s="12"/>
      <c r="BU141" s="12"/>
      <c r="BV141" s="12"/>
    </row>
    <row r="142" spans="1:74" s="85" customFormat="1" ht="18" customHeight="1" x14ac:dyDescent="0.4">
      <c r="A142" s="860"/>
      <c r="B142" s="833" t="s">
        <v>411</v>
      </c>
      <c r="C142" s="1108" t="s">
        <v>44</v>
      </c>
      <c r="D142" s="883"/>
      <c r="E142" s="31" t="s">
        <v>409</v>
      </c>
      <c r="F142" s="1021"/>
      <c r="G142" s="46" t="s">
        <v>410</v>
      </c>
      <c r="H142" s="1021"/>
      <c r="I142" s="1098">
        <v>2.8311292189373845</v>
      </c>
      <c r="J142" s="1098">
        <v>2.6449912003251397</v>
      </c>
      <c r="K142" s="1098">
        <v>2.5317644491034725</v>
      </c>
      <c r="L142" s="1098">
        <v>2.54604210896259</v>
      </c>
      <c r="M142" s="1098">
        <v>2.6086822720158391</v>
      </c>
      <c r="N142" s="1098">
        <v>2.4002608731415309</v>
      </c>
      <c r="O142" s="1098">
        <v>2.4371950273751111</v>
      </c>
      <c r="P142" s="1098">
        <v>2.5124758226505177</v>
      </c>
      <c r="Q142" s="1098">
        <v>2.5890152174383521</v>
      </c>
      <c r="R142" s="1098">
        <v>2.5876184455709197</v>
      </c>
      <c r="S142" s="1098">
        <v>2.4836424446416339</v>
      </c>
      <c r="T142" s="1098">
        <v>2.5340306522417828</v>
      </c>
      <c r="U142" s="1098">
        <v>2.5291629046770061</v>
      </c>
      <c r="V142" s="1098">
        <v>2.5022715470716634</v>
      </c>
      <c r="W142" s="1098">
        <v>2.5267469116807115</v>
      </c>
      <c r="X142" s="1113">
        <v>2.4087680170217816</v>
      </c>
      <c r="Y142" s="1098">
        <v>2.4526321245039333</v>
      </c>
      <c r="Z142" s="1098">
        <v>2.4166010581203907</v>
      </c>
      <c r="AA142" s="1098">
        <v>2.4270653106549127</v>
      </c>
      <c r="AB142" s="1098">
        <v>2.4619132757697559</v>
      </c>
      <c r="AC142" s="1098">
        <v>2.5386591788088473</v>
      </c>
      <c r="AD142" s="1098">
        <v>2.4940601310866843</v>
      </c>
      <c r="AE142" s="1098">
        <v>2.4765580685019115</v>
      </c>
      <c r="AF142" s="1098">
        <v>2.4325072284231393</v>
      </c>
      <c r="AG142" s="1098">
        <v>2.513830462002038</v>
      </c>
      <c r="AH142" s="1098">
        <v>2.4254905071498181</v>
      </c>
      <c r="AI142" s="1098">
        <v>2.4244894733604818</v>
      </c>
      <c r="AJ142" s="1098">
        <v>2.3313002769710125</v>
      </c>
      <c r="AK142" s="1098">
        <v>2.1888459484805289</v>
      </c>
      <c r="AL142" s="1098">
        <v>2.068931628109612</v>
      </c>
      <c r="AM142" s="1098">
        <v>1.9827649549694506</v>
      </c>
      <c r="AN142" s="1098">
        <v>1.9651511251074754</v>
      </c>
      <c r="AO142" s="1098">
        <v>1.8807003221929166</v>
      </c>
      <c r="AP142" s="1098">
        <v>1.8270749898488943</v>
      </c>
      <c r="AQ142" s="1098">
        <v>1.7563789832814878</v>
      </c>
      <c r="AR142" s="1098">
        <v>1.7428459357148212</v>
      </c>
      <c r="AS142" s="12"/>
      <c r="AT142" s="12"/>
      <c r="AU142" s="12"/>
      <c r="AV142" s="12"/>
      <c r="AW142" s="689"/>
      <c r="AX142" s="12"/>
      <c r="AY142" s="12"/>
      <c r="AZ142" s="12"/>
      <c r="BA142" s="12"/>
      <c r="BB142" s="791"/>
      <c r="BC142" s="12"/>
      <c r="BD142" s="12"/>
      <c r="BE142" s="12"/>
      <c r="BF142" s="12"/>
      <c r="BG142" s="12"/>
      <c r="BH142" s="12"/>
      <c r="BI142" s="12"/>
      <c r="BJ142" s="12"/>
      <c r="BK142" s="12"/>
      <c r="BL142" s="12"/>
      <c r="BM142" s="12"/>
      <c r="BN142" s="12"/>
      <c r="BO142" s="12"/>
      <c r="BP142" s="12"/>
      <c r="BQ142" s="12"/>
      <c r="BR142" s="12"/>
      <c r="BS142" s="12"/>
      <c r="BT142" s="12"/>
      <c r="BU142" s="12"/>
      <c r="BV142" s="12"/>
    </row>
    <row r="143" spans="1:74" s="68" customFormat="1" ht="30" x14ac:dyDescent="0.4">
      <c r="A143" s="859"/>
      <c r="B143" s="842"/>
      <c r="C143" s="1108" t="s">
        <v>93</v>
      </c>
      <c r="D143" s="884" t="s">
        <v>44</v>
      </c>
      <c r="E143" s="11" t="s">
        <v>22</v>
      </c>
      <c r="F143" s="1042" t="s">
        <v>449</v>
      </c>
      <c r="G143" s="10" t="s">
        <v>129</v>
      </c>
      <c r="H143" s="1042" t="s">
        <v>450</v>
      </c>
      <c r="I143" s="11">
        <f>SUM(I144:I147)</f>
        <v>27.924884989551138</v>
      </c>
      <c r="J143" s="11">
        <f t="shared" ref="J143:AQ143" si="44">SUM(J144:J147)</f>
        <v>28.699273729081934</v>
      </c>
      <c r="K143" s="11">
        <f t="shared" si="44"/>
        <v>29.067016286626483</v>
      </c>
      <c r="L143" s="11">
        <f t="shared" si="44"/>
        <v>29.694867399343131</v>
      </c>
      <c r="M143" s="11">
        <f t="shared" si="44"/>
        <v>30.283604302953371</v>
      </c>
      <c r="N143" s="11">
        <f t="shared" si="44"/>
        <v>30.227000476091259</v>
      </c>
      <c r="O143" s="11">
        <f t="shared" si="44"/>
        <v>31.14040237423443</v>
      </c>
      <c r="P143" s="11">
        <f t="shared" si="44"/>
        <v>30.934566823240399</v>
      </c>
      <c r="Q143" s="11">
        <f t="shared" si="44"/>
        <v>30.908349337657565</v>
      </c>
      <c r="R143" s="11">
        <f t="shared" si="44"/>
        <v>30.396429656894107</v>
      </c>
      <c r="S143" s="11">
        <f t="shared" si="44"/>
        <v>29.015875279584431</v>
      </c>
      <c r="T143" s="11">
        <f t="shared" si="44"/>
        <v>29.196951525602202</v>
      </c>
      <c r="U143" s="11">
        <f t="shared" si="44"/>
        <v>27.948751053435839</v>
      </c>
      <c r="V143" s="11">
        <f t="shared" si="44"/>
        <v>28.22227044752799</v>
      </c>
      <c r="W143" s="11">
        <f t="shared" si="44"/>
        <v>28.366775689626401</v>
      </c>
      <c r="X143" s="704">
        <f t="shared" si="44"/>
        <v>29.383625605823756</v>
      </c>
      <c r="Y143" s="11">
        <f t="shared" si="44"/>
        <v>29.540274376383525</v>
      </c>
      <c r="Z143" s="11">
        <f t="shared" si="44"/>
        <v>30.002233748868669</v>
      </c>
      <c r="AA143" s="11">
        <f t="shared" si="44"/>
        <v>30.23668990352698</v>
      </c>
      <c r="AB143" s="11">
        <f t="shared" si="44"/>
        <v>30.043225555657994</v>
      </c>
      <c r="AC143" s="11">
        <f t="shared" si="44"/>
        <v>29.959243288219373</v>
      </c>
      <c r="AD143" s="11">
        <f t="shared" si="44"/>
        <v>30.499234439227461</v>
      </c>
      <c r="AE143" s="11">
        <f t="shared" si="44"/>
        <v>30.131298477792861</v>
      </c>
      <c r="AF143" s="11">
        <f t="shared" si="44"/>
        <v>29.20454104205821</v>
      </c>
      <c r="AG143" s="11">
        <f t="shared" si="44"/>
        <v>30.371035310258112</v>
      </c>
      <c r="AH143" s="11">
        <f t="shared" si="44"/>
        <v>30.229555533654366</v>
      </c>
      <c r="AI143" s="11">
        <f t="shared" si="44"/>
        <v>30.193990892563139</v>
      </c>
      <c r="AJ143" s="11">
        <f t="shared" si="44"/>
        <v>29.395603639453359</v>
      </c>
      <c r="AK143" s="11">
        <f t="shared" si="44"/>
        <v>26.471644990322499</v>
      </c>
      <c r="AL143" s="11">
        <f t="shared" si="44"/>
        <v>27.540037960213112</v>
      </c>
      <c r="AM143" s="11">
        <f t="shared" si="44"/>
        <v>27.958246987935389</v>
      </c>
      <c r="AN143" s="11">
        <f t="shared" si="44"/>
        <v>26.872461091379719</v>
      </c>
      <c r="AO143" s="11">
        <f t="shared" si="44"/>
        <v>26.662188395876907</v>
      </c>
      <c r="AP143" s="11">
        <f t="shared" si="44"/>
        <v>26.097333632735438</v>
      </c>
      <c r="AQ143" s="11">
        <f t="shared" si="44"/>
        <v>25.195108011476126</v>
      </c>
      <c r="AR143" s="11">
        <f>SUM(AR144:AR147)</f>
        <v>22.773212088953969</v>
      </c>
      <c r="AS143" s="12"/>
      <c r="AT143" s="12"/>
      <c r="AU143" s="12"/>
      <c r="AV143" s="12"/>
      <c r="AW143" s="689"/>
      <c r="AX143" s="12"/>
      <c r="AY143" s="12"/>
      <c r="AZ143" s="12"/>
      <c r="BA143" s="12"/>
      <c r="BB143" s="791"/>
      <c r="BC143" s="12"/>
      <c r="BD143" s="12"/>
      <c r="BE143" s="12"/>
      <c r="BF143" s="12"/>
      <c r="BG143" s="12"/>
      <c r="BH143" s="12"/>
      <c r="BI143" s="12"/>
      <c r="BJ143" s="12"/>
      <c r="BK143" s="12"/>
      <c r="BL143" s="12"/>
      <c r="BM143" s="12"/>
      <c r="BN143" s="12"/>
      <c r="BO143" s="12"/>
      <c r="BP143" s="12"/>
      <c r="BQ143" s="12"/>
      <c r="BR143" s="12"/>
      <c r="BS143" s="12"/>
      <c r="BT143" s="12"/>
      <c r="BU143" s="12"/>
      <c r="BV143" s="12"/>
    </row>
    <row r="144" spans="1:74" s="85" customFormat="1" ht="18" customHeight="1" x14ac:dyDescent="0.4">
      <c r="A144" s="860"/>
      <c r="B144" s="833" t="s">
        <v>431</v>
      </c>
      <c r="C144" s="1108" t="s">
        <v>44</v>
      </c>
      <c r="D144" s="884" t="s">
        <v>44</v>
      </c>
      <c r="E144" s="31" t="s">
        <v>105</v>
      </c>
      <c r="F144" s="1021"/>
      <c r="G144" s="46" t="s">
        <v>201</v>
      </c>
      <c r="H144" s="1021"/>
      <c r="I144" s="31">
        <v>24.932174174933799</v>
      </c>
      <c r="J144" s="31">
        <v>25.623978050169168</v>
      </c>
      <c r="K144" s="31">
        <v>25.956426096652915</v>
      </c>
      <c r="L144" s="31">
        <v>26.51538710515948</v>
      </c>
      <c r="M144" s="31">
        <v>27.046731370946588</v>
      </c>
      <c r="N144" s="31">
        <v>26.996776046058542</v>
      </c>
      <c r="O144" s="31">
        <v>27.802870162472608</v>
      </c>
      <c r="P144" s="31">
        <v>27.614051335791736</v>
      </c>
      <c r="Q144" s="31">
        <v>27.584592730829833</v>
      </c>
      <c r="R144" s="31">
        <v>27.11692863116242</v>
      </c>
      <c r="S144" s="31">
        <v>25.880539616749765</v>
      </c>
      <c r="T144" s="31">
        <v>26.036010020150748</v>
      </c>
      <c r="U144" s="31">
        <v>24.923089950241962</v>
      </c>
      <c r="V144" s="31">
        <v>25.166466582708626</v>
      </c>
      <c r="W144" s="31">
        <v>25.304393798511359</v>
      </c>
      <c r="X144" s="706">
        <v>26.207378834171784</v>
      </c>
      <c r="Y144" s="31">
        <v>26.357315035308435</v>
      </c>
      <c r="Z144" s="31">
        <v>26.770282142497791</v>
      </c>
      <c r="AA144" s="31">
        <v>26.987321040221673</v>
      </c>
      <c r="AB144" s="31">
        <v>26.811417545427457</v>
      </c>
      <c r="AC144" s="31">
        <v>26.739012369286698</v>
      </c>
      <c r="AD144" s="31">
        <v>27.213145382015114</v>
      </c>
      <c r="AE144" s="31">
        <v>26.889226350940671</v>
      </c>
      <c r="AF144" s="31">
        <v>26.062186305512405</v>
      </c>
      <c r="AG144" s="31">
        <v>27.103167942524141</v>
      </c>
      <c r="AH144" s="31">
        <v>26.97691112886633</v>
      </c>
      <c r="AI144" s="31">
        <v>26.945173177543165</v>
      </c>
      <c r="AJ144" s="31">
        <v>26.232690919920021</v>
      </c>
      <c r="AK144" s="31">
        <v>23.623344827012126</v>
      </c>
      <c r="AL144" s="31">
        <v>24.57678068442516</v>
      </c>
      <c r="AM144" s="31">
        <v>24.949991192320098</v>
      </c>
      <c r="AN144" s="31">
        <v>23.98103385506289</v>
      </c>
      <c r="AO144" s="31">
        <v>23.793386113663203</v>
      </c>
      <c r="AP144" s="31">
        <v>23.289308680932848</v>
      </c>
      <c r="AQ144" s="31">
        <v>22.484160872001222</v>
      </c>
      <c r="AR144" s="31">
        <v>20.324335368490797</v>
      </c>
      <c r="AS144" s="12"/>
      <c r="AT144" s="12"/>
      <c r="AU144" s="12"/>
      <c r="AV144" s="12"/>
      <c r="AW144" s="689"/>
      <c r="AX144" s="12"/>
      <c r="AY144" s="12"/>
      <c r="AZ144" s="12"/>
      <c r="BA144" s="12"/>
      <c r="BB144" s="791"/>
      <c r="BC144" s="12"/>
      <c r="BD144" s="12"/>
      <c r="BE144" s="12"/>
      <c r="BF144" s="12"/>
      <c r="BG144" s="12"/>
      <c r="BH144" s="12"/>
      <c r="BI144" s="12"/>
      <c r="BJ144" s="12"/>
      <c r="BK144" s="12"/>
      <c r="BL144" s="12"/>
      <c r="BM144" s="12"/>
      <c r="BN144" s="12"/>
      <c r="BO144" s="12"/>
      <c r="BP144" s="12"/>
      <c r="BQ144" s="12"/>
      <c r="BR144" s="12"/>
      <c r="BS144" s="12"/>
      <c r="BT144" s="12"/>
      <c r="BU144" s="12"/>
      <c r="BV144" s="12"/>
    </row>
    <row r="145" spans="1:74" s="85" customFormat="1" ht="18" customHeight="1" x14ac:dyDescent="0.4">
      <c r="A145" s="860"/>
      <c r="B145" s="833" t="s">
        <v>430</v>
      </c>
      <c r="C145" s="1108" t="s">
        <v>44</v>
      </c>
      <c r="D145" s="884" t="s">
        <v>44</v>
      </c>
      <c r="E145" s="31" t="s">
        <v>106</v>
      </c>
      <c r="F145" s="1021"/>
      <c r="G145" s="46" t="s">
        <v>202</v>
      </c>
      <c r="H145" s="1021"/>
      <c r="I145" s="177">
        <v>1.3890975225146303</v>
      </c>
      <c r="J145" s="177">
        <v>1.4274843792682661</v>
      </c>
      <c r="K145" s="177">
        <v>1.4452722435068326</v>
      </c>
      <c r="L145" s="177">
        <v>1.4766637759950267</v>
      </c>
      <c r="M145" s="177">
        <v>1.5051985775696504</v>
      </c>
      <c r="N145" s="177">
        <v>1.5022637673892316</v>
      </c>
      <c r="O145" s="177">
        <v>1.548774328489156</v>
      </c>
      <c r="P145" s="177">
        <v>1.5391398744006302</v>
      </c>
      <c r="Q145" s="177">
        <v>1.5385324739500297</v>
      </c>
      <c r="R145" s="177">
        <v>1.5143220514992193</v>
      </c>
      <c r="S145" s="177">
        <v>1.4461623282189471</v>
      </c>
      <c r="T145" s="177">
        <v>1.4559201623218831</v>
      </c>
      <c r="U145" s="177">
        <v>1.3937946355806536</v>
      </c>
      <c r="V145" s="177">
        <v>1.4075971846782107</v>
      </c>
      <c r="W145" s="177">
        <v>1.4137581024308989</v>
      </c>
      <c r="X145" s="1112">
        <v>1.4649021162657088</v>
      </c>
      <c r="Y145" s="177">
        <v>1.4715352584932819</v>
      </c>
      <c r="Z145" s="177">
        <v>1.4944065331159819</v>
      </c>
      <c r="AA145" s="177">
        <v>1.505204182940187</v>
      </c>
      <c r="AB145" s="177">
        <v>1.4958820521053147</v>
      </c>
      <c r="AC145" s="177">
        <v>1.4913768009561845</v>
      </c>
      <c r="AD145" s="177">
        <v>1.5191515121827104</v>
      </c>
      <c r="AE145" s="177">
        <v>1.500365622604217</v>
      </c>
      <c r="AF145" s="177">
        <v>1.4542184245970058</v>
      </c>
      <c r="AG145" s="177">
        <v>1.5123031400719089</v>
      </c>
      <c r="AH145" s="177">
        <v>1.5052582597038615</v>
      </c>
      <c r="AI145" s="177">
        <v>1.5034873448223518</v>
      </c>
      <c r="AJ145" s="177">
        <v>1.4637322446903687</v>
      </c>
      <c r="AK145" s="177">
        <v>1.3181358960197167</v>
      </c>
      <c r="AL145" s="177">
        <v>1.3713357302265738</v>
      </c>
      <c r="AM145" s="177">
        <v>1.3921601380668032</v>
      </c>
      <c r="AN145" s="177">
        <v>1.3380942359981858</v>
      </c>
      <c r="AO145" s="177">
        <v>1.3276238633410873</v>
      </c>
      <c r="AP145" s="177">
        <v>1.299497340051482</v>
      </c>
      <c r="AQ145" s="177">
        <v>1.2545716855209319</v>
      </c>
      <c r="AR145" s="177">
        <v>1.1340576962377287</v>
      </c>
      <c r="AS145" s="12"/>
      <c r="AT145" s="12"/>
      <c r="AU145" s="12"/>
      <c r="AV145" s="12"/>
      <c r="AW145" s="689"/>
      <c r="AX145" s="12"/>
      <c r="AY145" s="12"/>
      <c r="AZ145" s="12"/>
      <c r="BA145" s="12"/>
      <c r="BB145" s="791"/>
      <c r="BC145" s="12"/>
      <c r="BD145" s="12"/>
      <c r="BE145" s="12"/>
      <c r="BF145" s="12"/>
      <c r="BG145" s="12"/>
      <c r="BH145" s="12"/>
      <c r="BI145" s="12"/>
      <c r="BJ145" s="12"/>
      <c r="BK145" s="12"/>
      <c r="BL145" s="12"/>
      <c r="BM145" s="12"/>
      <c r="BN145" s="12"/>
      <c r="BO145" s="12"/>
      <c r="BP145" s="12"/>
      <c r="BQ145" s="12"/>
      <c r="BR145" s="12"/>
      <c r="BS145" s="12"/>
      <c r="BT145" s="12"/>
      <c r="BU145" s="12"/>
      <c r="BV145" s="12"/>
    </row>
    <row r="146" spans="1:74" s="85" customFormat="1" ht="18" customHeight="1" x14ac:dyDescent="0.4">
      <c r="A146" s="860"/>
      <c r="B146" s="833" t="s">
        <v>429</v>
      </c>
      <c r="C146" s="1109" t="s">
        <v>44</v>
      </c>
      <c r="D146" s="884" t="s">
        <v>44</v>
      </c>
      <c r="E146" s="31" t="s">
        <v>107</v>
      </c>
      <c r="F146" s="1021"/>
      <c r="G146" s="46" t="s">
        <v>203</v>
      </c>
      <c r="H146" s="1021"/>
      <c r="I146" s="1110">
        <v>1.3194918544717142</v>
      </c>
      <c r="J146" s="1110">
        <v>1.3556717516016532</v>
      </c>
      <c r="K146" s="1110">
        <v>1.3699701938227626</v>
      </c>
      <c r="L146" s="1110">
        <v>1.4007888230092533</v>
      </c>
      <c r="M146" s="1110">
        <v>1.4242783299513027</v>
      </c>
      <c r="N146" s="1110">
        <v>1.4211078876573915</v>
      </c>
      <c r="O146" s="1110">
        <v>1.4712063090454175</v>
      </c>
      <c r="P146" s="1110">
        <v>1.4652327787336032</v>
      </c>
      <c r="Q146" s="1110">
        <v>1.4684601978270135</v>
      </c>
      <c r="R146" s="1110">
        <v>1.4521424102254021</v>
      </c>
      <c r="S146" s="1110">
        <v>1.3898051575207819</v>
      </c>
      <c r="T146" s="1110">
        <v>1.402983753894677</v>
      </c>
      <c r="U146" s="1110">
        <v>1.3430657299400144</v>
      </c>
      <c r="V146" s="1110">
        <v>1.3567305201797901</v>
      </c>
      <c r="W146" s="1110">
        <v>1.3569810806627929</v>
      </c>
      <c r="X146" s="1296">
        <v>1.4086358669666668</v>
      </c>
      <c r="Y146" s="1110">
        <v>1.4086021356752927</v>
      </c>
      <c r="Z146" s="1110">
        <v>1.4299873351176211</v>
      </c>
      <c r="AA146" s="1110">
        <v>1.4354039507403293</v>
      </c>
      <c r="AB146" s="1110">
        <v>1.4285234112395813</v>
      </c>
      <c r="AC146" s="1110">
        <v>1.4226139841830283</v>
      </c>
      <c r="AD146" s="1110">
        <v>1.4540167865914699</v>
      </c>
      <c r="AE146" s="1110">
        <v>1.4333036040780163</v>
      </c>
      <c r="AF146" s="1110">
        <v>1.38921905280242</v>
      </c>
      <c r="AG146" s="1110">
        <v>1.4447075489247991</v>
      </c>
      <c r="AH146" s="1110">
        <v>1.4379775544023343</v>
      </c>
      <c r="AI146" s="1110">
        <v>1.4362857943113658</v>
      </c>
      <c r="AJ146" s="1110">
        <v>1.3983076325611981</v>
      </c>
      <c r="AK146" s="1110">
        <v>1.2592190209946197</v>
      </c>
      <c r="AL146" s="1110">
        <v>1.3100409759609632</v>
      </c>
      <c r="AM146" s="1110">
        <v>1.3299345927970938</v>
      </c>
      <c r="AN146" s="1110">
        <v>1.2782852807059704</v>
      </c>
      <c r="AO146" s="1110">
        <v>1.268282903525793</v>
      </c>
      <c r="AP146" s="1110">
        <v>1.2414135547525238</v>
      </c>
      <c r="AQ146" s="1110">
        <v>1.1984959474812809</v>
      </c>
      <c r="AR146" s="1110">
        <v>1.0833685861374389</v>
      </c>
      <c r="AS146" s="12"/>
      <c r="AT146" s="12"/>
      <c r="AU146" s="12"/>
      <c r="AV146" s="12"/>
      <c r="AW146" s="689"/>
      <c r="AX146" s="12"/>
      <c r="AY146" s="12"/>
      <c r="AZ146" s="12"/>
      <c r="BA146" s="12"/>
      <c r="BB146" s="791"/>
      <c r="BC146" s="12"/>
      <c r="BD146" s="12"/>
      <c r="BE146" s="12"/>
      <c r="BF146" s="12"/>
      <c r="BG146" s="12"/>
      <c r="BH146" s="12"/>
      <c r="BI146" s="12"/>
      <c r="BJ146" s="12"/>
      <c r="BK146" s="12"/>
      <c r="BL146" s="12"/>
      <c r="BM146" s="12"/>
      <c r="BN146" s="12"/>
      <c r="BO146" s="12"/>
      <c r="BP146" s="12"/>
      <c r="BQ146" s="12"/>
      <c r="BR146" s="12"/>
      <c r="BS146" s="12"/>
      <c r="BT146" s="12"/>
      <c r="BU146" s="12"/>
      <c r="BV146" s="12"/>
    </row>
    <row r="147" spans="1:74" s="85" customFormat="1" ht="18" customHeight="1" x14ac:dyDescent="0.4">
      <c r="A147" s="860"/>
      <c r="B147" s="833" t="s">
        <v>412</v>
      </c>
      <c r="C147" s="1108" t="s">
        <v>44</v>
      </c>
      <c r="D147" s="883"/>
      <c r="E147" s="31" t="s">
        <v>409</v>
      </c>
      <c r="F147" s="1017"/>
      <c r="G147" s="46" t="s">
        <v>410</v>
      </c>
      <c r="H147" s="1017"/>
      <c r="I147" s="1098">
        <v>0.2841214376309929</v>
      </c>
      <c r="J147" s="1098">
        <v>0.29213954804284809</v>
      </c>
      <c r="K147" s="1098">
        <v>0.29534775264397423</v>
      </c>
      <c r="L147" s="1098">
        <v>0.3020276951793715</v>
      </c>
      <c r="M147" s="1098">
        <v>0.30739602448582859</v>
      </c>
      <c r="N147" s="1098">
        <v>0.30685277498609387</v>
      </c>
      <c r="O147" s="1098">
        <v>0.31755157422724822</v>
      </c>
      <c r="P147" s="1098">
        <v>0.31614283431442902</v>
      </c>
      <c r="Q147" s="1098">
        <v>0.31676393505068723</v>
      </c>
      <c r="R147" s="1098">
        <v>0.31303656400706303</v>
      </c>
      <c r="S147" s="1098">
        <v>0.29936817709493879</v>
      </c>
      <c r="T147" s="1098">
        <v>0.30203758923489299</v>
      </c>
      <c r="U147" s="1098">
        <v>0.28880073767320535</v>
      </c>
      <c r="V147" s="1098">
        <v>0.29147615996136272</v>
      </c>
      <c r="W147" s="1098">
        <v>0.29164270802135084</v>
      </c>
      <c r="X147" s="1113">
        <v>0.30270878841959825</v>
      </c>
      <c r="Y147" s="1098">
        <v>0.30282194690651443</v>
      </c>
      <c r="Z147" s="1098">
        <v>0.30755773813727633</v>
      </c>
      <c r="AA147" s="1098">
        <v>0.30876072962479023</v>
      </c>
      <c r="AB147" s="1098">
        <v>0.30740254688563967</v>
      </c>
      <c r="AC147" s="1098">
        <v>0.30624013379346354</v>
      </c>
      <c r="AD147" s="1098">
        <v>0.3129207584381668</v>
      </c>
      <c r="AE147" s="1098">
        <v>0.30840290016995597</v>
      </c>
      <c r="AF147" s="1098">
        <v>0.29891725914637757</v>
      </c>
      <c r="AG147" s="1098">
        <v>0.31085667873725975</v>
      </c>
      <c r="AH147" s="1098">
        <v>0.30940859068183968</v>
      </c>
      <c r="AI147" s="1098">
        <v>0.30904457588625689</v>
      </c>
      <c r="AJ147" s="1098">
        <v>0.30087284228177075</v>
      </c>
      <c r="AK147" s="1098">
        <v>0.27094524629603539</v>
      </c>
      <c r="AL147" s="1098">
        <v>0.28188056960041619</v>
      </c>
      <c r="AM147" s="1098">
        <v>0.28616106475139219</v>
      </c>
      <c r="AN147" s="1098">
        <v>0.27504771961267543</v>
      </c>
      <c r="AO147" s="1098">
        <v>0.27289551534682155</v>
      </c>
      <c r="AP147" s="1098">
        <v>0.26711405699858509</v>
      </c>
      <c r="AQ147" s="1098">
        <v>0.2578795064726897</v>
      </c>
      <c r="AR147" s="1098">
        <v>0.23145043808800353</v>
      </c>
      <c r="AS147" s="12"/>
      <c r="AT147" s="12"/>
      <c r="AU147" s="12"/>
      <c r="AV147" s="12"/>
      <c r="AW147" s="689"/>
      <c r="AX147" s="12"/>
      <c r="AY147" s="12"/>
      <c r="AZ147" s="12"/>
      <c r="BA147" s="12"/>
      <c r="BB147" s="791"/>
      <c r="BC147" s="12"/>
      <c r="BD147" s="12"/>
      <c r="BE147" s="12"/>
      <c r="BF147" s="12"/>
      <c r="BG147" s="12"/>
      <c r="BH147" s="12"/>
      <c r="BI147" s="12"/>
      <c r="BJ147" s="12"/>
      <c r="BK147" s="12"/>
      <c r="BL147" s="12"/>
      <c r="BM147" s="12"/>
      <c r="BN147" s="12"/>
      <c r="BO147" s="12"/>
      <c r="BP147" s="12"/>
      <c r="BQ147" s="12"/>
      <c r="BR147" s="12"/>
      <c r="BS147" s="12"/>
      <c r="BT147" s="12"/>
      <c r="BU147" s="12"/>
      <c r="BV147" s="12"/>
    </row>
    <row r="148" spans="1:74" s="68" customFormat="1" ht="18" customHeight="1" x14ac:dyDescent="0.4">
      <c r="A148" s="859"/>
      <c r="B148" s="842"/>
      <c r="C148" s="1108" t="s">
        <v>94</v>
      </c>
      <c r="D148" s="884" t="s">
        <v>44</v>
      </c>
      <c r="E148" s="11" t="s">
        <v>23</v>
      </c>
      <c r="F148" s="64"/>
      <c r="G148" s="10" t="s">
        <v>164</v>
      </c>
      <c r="H148" s="64"/>
      <c r="I148" s="11">
        <f>I149-SUM(I121,I122,I128,I133,I138,I143)</f>
        <v>49.731449143076588</v>
      </c>
      <c r="J148" s="11">
        <f t="shared" ref="J148:AR148" si="45">J149-SUM(J121,J122,J128,J133,J138,J143)</f>
        <v>47.300022140258079</v>
      </c>
      <c r="K148" s="11">
        <f t="shared" si="45"/>
        <v>44.101348900181733</v>
      </c>
      <c r="L148" s="11">
        <f t="shared" si="45"/>
        <v>45.048063924850794</v>
      </c>
      <c r="M148" s="11">
        <f t="shared" si="45"/>
        <v>45.504755000004479</v>
      </c>
      <c r="N148" s="11">
        <f t="shared" si="45"/>
        <v>44.589637485378944</v>
      </c>
      <c r="O148" s="11">
        <f t="shared" si="45"/>
        <v>45.806581146064332</v>
      </c>
      <c r="P148" s="11">
        <f t="shared" si="45"/>
        <v>45.966305239165422</v>
      </c>
      <c r="Q148" s="11">
        <f t="shared" si="45"/>
        <v>46.798114560819158</v>
      </c>
      <c r="R148" s="11">
        <f t="shared" si="45"/>
        <v>45.827606628349258</v>
      </c>
      <c r="S148" s="11">
        <f t="shared" si="45"/>
        <v>45.973879018003117</v>
      </c>
      <c r="T148" s="11">
        <f t="shared" si="45"/>
        <v>48.250217335287289</v>
      </c>
      <c r="U148" s="11">
        <f t="shared" si="45"/>
        <v>46.862612664269022</v>
      </c>
      <c r="V148" s="11">
        <f t="shared" si="45"/>
        <v>45.732706187347958</v>
      </c>
      <c r="W148" s="11">
        <f t="shared" si="45"/>
        <v>45.687361584974497</v>
      </c>
      <c r="X148" s="704">
        <f t="shared" si="45"/>
        <v>46.729059596986076</v>
      </c>
      <c r="Y148" s="11">
        <f t="shared" si="45"/>
        <v>49.565121674612101</v>
      </c>
      <c r="Z148" s="11">
        <f t="shared" si="45"/>
        <v>50.184484282342964</v>
      </c>
      <c r="AA148" s="11">
        <f t="shared" si="45"/>
        <v>49.610396454238639</v>
      </c>
      <c r="AB148" s="11">
        <f t="shared" si="45"/>
        <v>48.707281585646911</v>
      </c>
      <c r="AC148" s="11">
        <f t="shared" si="45"/>
        <v>46.468698087180769</v>
      </c>
      <c r="AD148" s="11">
        <f t="shared" si="45"/>
        <v>47.824911003986585</v>
      </c>
      <c r="AE148" s="11">
        <f t="shared" si="45"/>
        <v>44.626386376638948</v>
      </c>
      <c r="AF148" s="11">
        <f t="shared" si="45"/>
        <v>45.107228027808333</v>
      </c>
      <c r="AG148" s="11">
        <f t="shared" si="45"/>
        <v>46.872862900683344</v>
      </c>
      <c r="AH148" s="11">
        <f t="shared" si="45"/>
        <v>47.490724781641461</v>
      </c>
      <c r="AI148" s="11">
        <f t="shared" si="45"/>
        <v>47.095314301499684</v>
      </c>
      <c r="AJ148" s="11">
        <f t="shared" si="45"/>
        <v>46.268081895569708</v>
      </c>
      <c r="AK148" s="11">
        <f t="shared" si="45"/>
        <v>42.278532967293813</v>
      </c>
      <c r="AL148" s="11">
        <f t="shared" si="45"/>
        <v>40.388954347918798</v>
      </c>
      <c r="AM148" s="11">
        <f t="shared" si="45"/>
        <v>40.540610997175236</v>
      </c>
      <c r="AN148" s="11">
        <f t="shared" si="45"/>
        <v>40.212357500807229</v>
      </c>
      <c r="AO148" s="11">
        <f t="shared" si="45"/>
        <v>40.635423765274595</v>
      </c>
      <c r="AP148" s="11">
        <f t="shared" si="45"/>
        <v>38.787273281174976</v>
      </c>
      <c r="AQ148" s="11">
        <f t="shared" si="45"/>
        <v>37.653016891726907</v>
      </c>
      <c r="AR148" s="11">
        <f t="shared" si="45"/>
        <v>38.304253225316643</v>
      </c>
      <c r="AS148" s="12"/>
      <c r="AT148" s="12"/>
      <c r="AU148" s="12"/>
      <c r="AV148" s="12"/>
      <c r="AW148" s="689"/>
      <c r="AX148" s="12"/>
      <c r="AY148" s="12"/>
      <c r="AZ148" s="12"/>
      <c r="BA148" s="12"/>
      <c r="BB148" s="791"/>
      <c r="BC148" s="12"/>
      <c r="BD148" s="12"/>
      <c r="BE148" s="12"/>
      <c r="BF148" s="12"/>
      <c r="BG148" s="12"/>
      <c r="BH148" s="12"/>
      <c r="BI148" s="12"/>
      <c r="BJ148" s="12"/>
      <c r="BK148" s="12"/>
      <c r="BL148" s="12"/>
      <c r="BM148" s="12"/>
      <c r="BN148" s="12"/>
      <c r="BO148" s="12"/>
      <c r="BP148" s="12"/>
      <c r="BQ148" s="12"/>
      <c r="BR148" s="12"/>
      <c r="BS148" s="12"/>
      <c r="BT148" s="12"/>
      <c r="BU148" s="12"/>
      <c r="BV148" s="12"/>
    </row>
    <row r="149" spans="1:74" s="63" customFormat="1" ht="18" customHeight="1" x14ac:dyDescent="0.4">
      <c r="A149" s="861"/>
      <c r="B149" s="842" t="s">
        <v>40</v>
      </c>
      <c r="C149" s="1108" t="s">
        <v>40</v>
      </c>
      <c r="D149" s="884" t="s">
        <v>44</v>
      </c>
      <c r="E149" s="25" t="s">
        <v>117</v>
      </c>
      <c r="F149" s="89"/>
      <c r="G149" s="13"/>
      <c r="H149" s="89"/>
      <c r="I149" s="14">
        <v>721.77082797684568</v>
      </c>
      <c r="J149" s="14">
        <v>712.02461235206624</v>
      </c>
      <c r="K149" s="14">
        <v>689.23634472800643</v>
      </c>
      <c r="L149" s="14">
        <v>694.36308688563315</v>
      </c>
      <c r="M149" s="14">
        <v>703.10145786337523</v>
      </c>
      <c r="N149" s="14">
        <v>687.33740948466505</v>
      </c>
      <c r="O149" s="14">
        <v>702.02443450140868</v>
      </c>
      <c r="P149" s="14">
        <v>702.66889123131955</v>
      </c>
      <c r="Q149" s="14">
        <v>717.87852954257153</v>
      </c>
      <c r="R149" s="14">
        <v>717.6675292988898</v>
      </c>
      <c r="S149" s="14">
        <v>703.92059749345424</v>
      </c>
      <c r="T149" s="14">
        <v>704.00709173836321</v>
      </c>
      <c r="U149" s="14">
        <v>689.11793826308349</v>
      </c>
      <c r="V149" s="14">
        <v>682.99811253177313</v>
      </c>
      <c r="W149" s="14">
        <v>681.20675392270903</v>
      </c>
      <c r="X149" s="691">
        <v>686.28519341898311</v>
      </c>
      <c r="Y149" s="14">
        <v>713.27916075697351</v>
      </c>
      <c r="Z149" s="14">
        <v>730.96270564890381</v>
      </c>
      <c r="AA149" s="14">
        <v>747.74759930352434</v>
      </c>
      <c r="AB149" s="14">
        <v>734.57445224587002</v>
      </c>
      <c r="AC149" s="14">
        <v>722.38276175524891</v>
      </c>
      <c r="AD149" s="14">
        <v>719.40818265295684</v>
      </c>
      <c r="AE149" s="14">
        <v>713.8355868844144</v>
      </c>
      <c r="AF149" s="14">
        <v>705.01994525796056</v>
      </c>
      <c r="AG149" s="14">
        <v>744.15639330645411</v>
      </c>
      <c r="AH149" s="14">
        <v>734.06322093296922</v>
      </c>
      <c r="AI149" s="14">
        <v>731.54313779732206</v>
      </c>
      <c r="AJ149" s="14">
        <v>734.99081320707012</v>
      </c>
      <c r="AK149" s="14">
        <v>712.0887178357043</v>
      </c>
      <c r="AL149" s="14">
        <v>696.98270903435753</v>
      </c>
      <c r="AM149" s="14">
        <v>693.96407628592169</v>
      </c>
      <c r="AN149" s="14">
        <v>698.15015133017482</v>
      </c>
      <c r="AO149" s="14">
        <v>690.03480363759775</v>
      </c>
      <c r="AP149" s="14">
        <v>667.46610440740528</v>
      </c>
      <c r="AQ149" s="14">
        <v>668.7584145388447</v>
      </c>
      <c r="AR149" s="14">
        <v>668.34042724521601</v>
      </c>
      <c r="AS149" s="12"/>
      <c r="AT149" s="12"/>
      <c r="AU149" s="12"/>
      <c r="AV149" s="12"/>
      <c r="AW149" s="689"/>
      <c r="AX149" s="12"/>
      <c r="AY149" s="12"/>
      <c r="AZ149" s="12"/>
      <c r="BA149" s="12"/>
      <c r="BB149" s="791"/>
      <c r="BC149" s="12"/>
      <c r="BD149" s="12"/>
      <c r="BE149" s="12"/>
      <c r="BF149" s="12"/>
      <c r="BG149" s="12"/>
      <c r="BH149" s="12"/>
      <c r="BI149" s="12"/>
      <c r="BJ149" s="12"/>
      <c r="BK149" s="12"/>
      <c r="BL149" s="12"/>
      <c r="BM149" s="12"/>
      <c r="BN149" s="12"/>
      <c r="BO149" s="12"/>
      <c r="BP149" s="12"/>
      <c r="BQ149" s="12"/>
      <c r="BR149" s="12"/>
      <c r="BS149" s="12"/>
      <c r="BT149" s="12"/>
      <c r="BU149" s="12"/>
      <c r="BV149" s="12"/>
    </row>
    <row r="150" spans="1:74" s="63" customFormat="1" x14ac:dyDescent="0.4">
      <c r="A150" s="861"/>
      <c r="B150" s="848"/>
      <c r="C150" s="1002"/>
      <c r="D150" s="885"/>
      <c r="E150" s="69"/>
      <c r="F150" s="90"/>
      <c r="G150" s="34"/>
      <c r="H150" s="90"/>
      <c r="I150" s="1104"/>
      <c r="J150" s="1104"/>
      <c r="K150" s="1104"/>
      <c r="L150" s="1104"/>
      <c r="M150" s="1104"/>
      <c r="N150" s="1104"/>
      <c r="O150" s="1104"/>
      <c r="P150" s="1104"/>
      <c r="Q150" s="1104"/>
      <c r="R150" s="1104"/>
      <c r="S150" s="1104"/>
      <c r="T150" s="1104"/>
      <c r="U150" s="1104"/>
      <c r="V150" s="1104"/>
      <c r="W150" s="1104"/>
      <c r="X150" s="82"/>
      <c r="Y150" s="1104"/>
      <c r="Z150" s="1104"/>
      <c r="AA150" s="1104"/>
      <c r="AB150" s="1104"/>
      <c r="AC150" s="1104"/>
      <c r="AD150" s="1104"/>
      <c r="AE150" s="1104"/>
      <c r="AF150" s="1104"/>
      <c r="AG150" s="1104"/>
      <c r="AH150" s="1104"/>
      <c r="AI150" s="1104"/>
      <c r="AJ150" s="1104"/>
      <c r="AK150" s="1104"/>
      <c r="AL150" s="1104"/>
      <c r="AM150" s="1104"/>
      <c r="AN150" s="1104"/>
      <c r="AO150" s="1104"/>
      <c r="AP150" s="1104"/>
      <c r="AQ150" s="1104"/>
      <c r="AR150" s="1105"/>
      <c r="AS150" s="1106"/>
      <c r="BB150" s="621"/>
    </row>
    <row r="151" spans="1:74" x14ac:dyDescent="0.4">
      <c r="B151" s="833"/>
      <c r="C151" s="867" t="s">
        <v>44</v>
      </c>
      <c r="D151" s="884"/>
      <c r="E151" s="623" t="str">
        <f>$E$14</f>
        <v>Losunarspá: Sviðsmynd byggð á aðgerðum stjórnvalda</v>
      </c>
      <c r="F151" s="623"/>
      <c r="G151" s="623" t="str">
        <f>$G$14</f>
        <v>Emission Projections: Government Policy-Based Scenario</v>
      </c>
      <c r="H151" s="623"/>
      <c r="I151" s="4"/>
      <c r="J151" s="42"/>
      <c r="K151" s="43"/>
      <c r="L151" s="44"/>
      <c r="M151" s="8"/>
      <c r="N151" s="45"/>
      <c r="O151" s="6"/>
      <c r="P151" s="6"/>
      <c r="Q151" s="6"/>
      <c r="R151" s="6"/>
      <c r="S151" s="6"/>
      <c r="T151" s="6"/>
      <c r="U151" s="6"/>
      <c r="V151" s="6"/>
      <c r="W151" s="6"/>
      <c r="X151" s="1074"/>
      <c r="Y151" s="6"/>
      <c r="Z151" s="6"/>
      <c r="AA151" s="6"/>
      <c r="AB151" s="6"/>
      <c r="AC151" s="6"/>
      <c r="AD151" s="6"/>
      <c r="AE151" s="6"/>
      <c r="AF151" s="6"/>
      <c r="AG151" s="6"/>
      <c r="AH151" s="6"/>
      <c r="AI151" s="6"/>
      <c r="AJ151" s="6"/>
      <c r="AK151" s="6"/>
      <c r="AL151" s="6"/>
      <c r="AM151" s="6"/>
      <c r="AN151" s="6"/>
      <c r="AO151" s="6"/>
      <c r="AP151" s="6"/>
      <c r="AQ151" s="6"/>
      <c r="AR151" s="188"/>
      <c r="AS151" s="6"/>
      <c r="AT151" s="9"/>
      <c r="AU151" s="9"/>
      <c r="AV151" s="9"/>
      <c r="AW151" s="688"/>
      <c r="AX151" s="9"/>
      <c r="AY151" s="9"/>
      <c r="AZ151" s="9"/>
      <c r="BA151" s="9"/>
      <c r="BB151" s="790"/>
      <c r="BC151" s="9"/>
      <c r="BD151" s="9"/>
      <c r="BE151" s="9"/>
      <c r="BF151" s="9"/>
      <c r="BG151" s="9"/>
      <c r="BH151" s="9"/>
      <c r="BI151" s="9"/>
      <c r="BJ151" s="9"/>
      <c r="BK151" s="9"/>
      <c r="BL151" s="9"/>
      <c r="BM151" s="9"/>
      <c r="BN151" s="9"/>
      <c r="BO151" s="9"/>
      <c r="BP151" s="9"/>
      <c r="BQ151" s="9"/>
      <c r="BR151" s="9"/>
      <c r="BS151" s="9"/>
      <c r="BT151" s="9"/>
      <c r="BU151" s="9"/>
      <c r="BV151" s="9"/>
    </row>
    <row r="152" spans="1:74" s="68" customFormat="1" ht="18" customHeight="1" x14ac:dyDescent="0.4">
      <c r="A152" s="859"/>
      <c r="B152" s="842" t="s">
        <v>417</v>
      </c>
      <c r="C152" s="1108" t="s">
        <v>419</v>
      </c>
      <c r="D152" s="884" t="s">
        <v>44</v>
      </c>
      <c r="E152" s="11" t="s">
        <v>190</v>
      </c>
      <c r="F152" s="10" t="str">
        <f>$F$121</f>
        <v>Hláturgaslosun (N₂O) frá framræstu mólendi og ræktuðu landi</v>
      </c>
      <c r="G152" s="10" t="s">
        <v>209</v>
      </c>
      <c r="H152" s="64"/>
      <c r="I152" s="12"/>
      <c r="J152" s="12"/>
      <c r="K152" s="12"/>
      <c r="L152" s="12"/>
      <c r="M152" s="12"/>
      <c r="N152" s="12"/>
      <c r="O152" s="12"/>
      <c r="P152" s="12"/>
      <c r="Q152" s="12"/>
      <c r="R152" s="12"/>
      <c r="S152" s="12"/>
      <c r="T152" s="12"/>
      <c r="U152" s="12"/>
      <c r="V152" s="12"/>
      <c r="W152" s="12"/>
      <c r="X152" s="791"/>
      <c r="Y152" s="12"/>
      <c r="Z152" s="12"/>
      <c r="AA152" s="12"/>
      <c r="AB152" s="12"/>
      <c r="AC152" s="12"/>
      <c r="AD152" s="12"/>
      <c r="AE152" s="12"/>
      <c r="AF152" s="12"/>
      <c r="AG152" s="12"/>
      <c r="AH152" s="12"/>
      <c r="AI152" s="12"/>
      <c r="AJ152" s="12"/>
      <c r="AK152" s="12"/>
      <c r="AL152" s="12"/>
      <c r="AM152" s="12"/>
      <c r="AN152" s="12"/>
      <c r="AO152" s="12"/>
      <c r="AP152" s="12"/>
      <c r="AQ152" s="12"/>
      <c r="AR152" s="168">
        <f t="shared" ref="AR152:AR159" si="46">AR121</f>
        <v>192.53067664599612</v>
      </c>
      <c r="AS152" s="23">
        <v>192.41479638044962</v>
      </c>
      <c r="AT152" s="23">
        <v>192.32534744293721</v>
      </c>
      <c r="AU152" s="23">
        <v>192.10376609693722</v>
      </c>
      <c r="AV152" s="23">
        <v>191.10856366787112</v>
      </c>
      <c r="AW152" s="703">
        <v>190.11599333275308</v>
      </c>
      <c r="AX152" s="23">
        <v>190.38535958463839</v>
      </c>
      <c r="AY152" s="23">
        <v>190.65740726135996</v>
      </c>
      <c r="AZ152" s="23">
        <v>190.93216155202381</v>
      </c>
      <c r="BA152" s="23">
        <v>191.20964800365795</v>
      </c>
      <c r="BB152" s="703">
        <v>191.51155717753724</v>
      </c>
      <c r="BC152" s="23">
        <v>191.79449745525517</v>
      </c>
      <c r="BD152" s="23">
        <v>192.08024839153751</v>
      </c>
      <c r="BE152" s="23">
        <v>192.36883703120574</v>
      </c>
      <c r="BF152" s="23">
        <v>192.66029081266268</v>
      </c>
      <c r="BG152" s="23">
        <v>192.95463757556104</v>
      </c>
      <c r="BH152" s="23">
        <v>193.25190556865888</v>
      </c>
      <c r="BI152" s="23">
        <v>192.95080195843576</v>
      </c>
      <c r="BJ152" s="23">
        <v>193.10014585271355</v>
      </c>
      <c r="BK152" s="23">
        <v>193.19016070371802</v>
      </c>
      <c r="BL152" s="23">
        <v>192.8144685902885</v>
      </c>
      <c r="BM152" s="23">
        <v>192.43539945415372</v>
      </c>
      <c r="BN152" s="23">
        <v>192.05633286406558</v>
      </c>
      <c r="BO152" s="23">
        <v>191.67726881455377</v>
      </c>
      <c r="BP152" s="23">
        <v>191.29820730016561</v>
      </c>
      <c r="BQ152" s="23">
        <v>190.91914831546578</v>
      </c>
      <c r="BR152" s="23">
        <v>190.54009185503671</v>
      </c>
      <c r="BS152" s="23">
        <v>190.16103791347786</v>
      </c>
      <c r="BT152" s="23">
        <v>189.78198648540607</v>
      </c>
      <c r="BU152" s="23">
        <v>189.40293756545546</v>
      </c>
      <c r="BV152" s="23">
        <v>189.02389737271938</v>
      </c>
    </row>
    <row r="153" spans="1:74" s="68" customFormat="1" ht="18" customHeight="1" x14ac:dyDescent="0.4">
      <c r="A153" s="859"/>
      <c r="B153" s="833"/>
      <c r="C153" s="1108" t="s">
        <v>413</v>
      </c>
      <c r="D153" s="884" t="s">
        <v>44</v>
      </c>
      <c r="E153" s="11" t="s">
        <v>403</v>
      </c>
      <c r="F153" s="10" t="str">
        <f>$F$122</f>
        <v>N₂O og CO₂ losun vegna notkunar tilbúins áburðar og vegna kölkunar túna</v>
      </c>
      <c r="G153" s="10" t="s">
        <v>432</v>
      </c>
      <c r="H153" s="64"/>
      <c r="I153" s="12"/>
      <c r="J153" s="12"/>
      <c r="K153" s="12"/>
      <c r="L153" s="12"/>
      <c r="M153" s="12"/>
      <c r="N153" s="12"/>
      <c r="O153" s="12"/>
      <c r="P153" s="12"/>
      <c r="Q153" s="12"/>
      <c r="R153" s="12"/>
      <c r="S153" s="12"/>
      <c r="T153" s="12"/>
      <c r="U153" s="12"/>
      <c r="V153" s="12"/>
      <c r="W153" s="12"/>
      <c r="X153" s="791"/>
      <c r="Y153" s="12"/>
      <c r="Z153" s="12"/>
      <c r="AA153" s="12"/>
      <c r="AB153" s="12"/>
      <c r="AC153" s="12"/>
      <c r="AD153" s="12"/>
      <c r="AE153" s="12"/>
      <c r="AF153" s="12"/>
      <c r="AG153" s="12"/>
      <c r="AH153" s="12"/>
      <c r="AI153" s="12"/>
      <c r="AJ153" s="12"/>
      <c r="AK153" s="12"/>
      <c r="AL153" s="12"/>
      <c r="AM153" s="12"/>
      <c r="AN153" s="12"/>
      <c r="AO153" s="12"/>
      <c r="AP153" s="12"/>
      <c r="AQ153" s="12"/>
      <c r="AR153" s="168">
        <f t="shared" si="46"/>
        <v>66.57016773211484</v>
      </c>
      <c r="AS153" s="11">
        <f>SUM(AS154:AS158)</f>
        <v>68.849040443223032</v>
      </c>
      <c r="AT153" s="11">
        <f t="shared" ref="AT153:BA153" si="47">SUM(AT154:AT158)</f>
        <v>59.258553838512611</v>
      </c>
      <c r="AU153" s="11">
        <f t="shared" si="47"/>
        <v>59.238553481801581</v>
      </c>
      <c r="AV153" s="11">
        <f t="shared" si="47"/>
        <v>59.181372392237833</v>
      </c>
      <c r="AW153" s="704">
        <f t="shared" si="47"/>
        <v>59.111644482714766</v>
      </c>
      <c r="AX153" s="11">
        <f t="shared" si="47"/>
        <v>59.053892885726924</v>
      </c>
      <c r="AY153" s="11">
        <f t="shared" si="47"/>
        <v>59.016205922509251</v>
      </c>
      <c r="AZ153" s="11">
        <f t="shared" si="47"/>
        <v>58.977085254048617</v>
      </c>
      <c r="BA153" s="11">
        <f t="shared" si="47"/>
        <v>58.932570222082177</v>
      </c>
      <c r="BB153" s="704">
        <f t="shared" ref="BB153:BO153" si="48">SUM(BB154:BB158)</f>
        <v>58.893662773733823</v>
      </c>
      <c r="BC153" s="11">
        <f t="shared" si="48"/>
        <v>58.856428989643753</v>
      </c>
      <c r="BD153" s="11">
        <f t="shared" si="48"/>
        <v>58.822353298623227</v>
      </c>
      <c r="BE153" s="11">
        <f t="shared" si="48"/>
        <v>58.788248169714109</v>
      </c>
      <c r="BF153" s="11">
        <f t="shared" si="48"/>
        <v>58.754269512326829</v>
      </c>
      <c r="BG153" s="11">
        <f t="shared" si="48"/>
        <v>58.718537512035667</v>
      </c>
      <c r="BH153" s="11">
        <f t="shared" si="48"/>
        <v>58.685788413736937</v>
      </c>
      <c r="BI153" s="11">
        <f t="shared" si="48"/>
        <v>58.65326221274546</v>
      </c>
      <c r="BJ153" s="11">
        <f t="shared" si="48"/>
        <v>58.616514575575181</v>
      </c>
      <c r="BK153" s="11">
        <f t="shared" si="48"/>
        <v>58.578462345077497</v>
      </c>
      <c r="BL153" s="11">
        <f t="shared" si="48"/>
        <v>58.553366224713727</v>
      </c>
      <c r="BM153" s="11">
        <f t="shared" si="48"/>
        <v>58.521354726778917</v>
      </c>
      <c r="BN153" s="11">
        <f t="shared" si="48"/>
        <v>58.495406021121141</v>
      </c>
      <c r="BO153" s="11">
        <f t="shared" si="48"/>
        <v>58.469306768422371</v>
      </c>
      <c r="BP153" s="11">
        <f t="shared" ref="BP153:BU153" si="49">SUM(BP154:BP158)</f>
        <v>58.448296312815316</v>
      </c>
      <c r="BQ153" s="11">
        <f t="shared" si="49"/>
        <v>58.42657478330397</v>
      </c>
      <c r="BR153" s="11">
        <f t="shared" si="49"/>
        <v>58.404733370239818</v>
      </c>
      <c r="BS153" s="11">
        <f t="shared" si="49"/>
        <v>58.384264516389003</v>
      </c>
      <c r="BT153" s="11">
        <f t="shared" si="49"/>
        <v>58.364120290903102</v>
      </c>
      <c r="BU153" s="11">
        <f t="shared" si="49"/>
        <v>58.341609521953771</v>
      </c>
      <c r="BV153" s="11">
        <f t="shared" ref="BV153" si="50">SUM(BV154:BV158)</f>
        <v>58.321070788724946</v>
      </c>
    </row>
    <row r="154" spans="1:74" s="85" customFormat="1" ht="18" customHeight="1" x14ac:dyDescent="0.4">
      <c r="A154" s="860"/>
      <c r="B154" s="833" t="s">
        <v>421</v>
      </c>
      <c r="C154" s="874" t="s">
        <v>44</v>
      </c>
      <c r="D154" s="884"/>
      <c r="E154" s="31" t="str">
        <f>B154</f>
        <v>3.D.1.a Inorganic N fertilizerskt CO2-eq</v>
      </c>
      <c r="F154" s="1288"/>
      <c r="G154" s="39"/>
      <c r="H154" s="1022"/>
      <c r="I154" s="1111"/>
      <c r="J154" s="1111"/>
      <c r="K154" s="1111"/>
      <c r="L154" s="1111"/>
      <c r="M154" s="1111"/>
      <c r="N154" s="1111"/>
      <c r="O154" s="1111"/>
      <c r="P154" s="1111"/>
      <c r="Q154" s="1111"/>
      <c r="R154" s="1111"/>
      <c r="S154" s="1111"/>
      <c r="T154" s="1111"/>
      <c r="U154" s="1111"/>
      <c r="V154" s="1111"/>
      <c r="W154" s="1111"/>
      <c r="X154" s="1297"/>
      <c r="Y154" s="1111"/>
      <c r="Z154" s="1111"/>
      <c r="AA154" s="1111"/>
      <c r="AB154" s="1111"/>
      <c r="AC154" s="1111"/>
      <c r="AD154" s="1111"/>
      <c r="AE154" s="1111"/>
      <c r="AF154" s="1111"/>
      <c r="AG154" s="1111"/>
      <c r="AH154" s="1111"/>
      <c r="AI154" s="1111"/>
      <c r="AJ154" s="1111"/>
      <c r="AK154" s="1111"/>
      <c r="AL154" s="1111"/>
      <c r="AM154" s="1111"/>
      <c r="AN154" s="1111"/>
      <c r="AO154" s="1111"/>
      <c r="AP154" s="1111"/>
      <c r="AQ154" s="1111"/>
      <c r="AR154" s="168">
        <f t="shared" si="46"/>
        <v>44.448811967929274</v>
      </c>
      <c r="AS154" s="31">
        <v>47.054341833303468</v>
      </c>
      <c r="AT154" s="31">
        <v>40.081877534498787</v>
      </c>
      <c r="AU154" s="31">
        <v>40.004067925532674</v>
      </c>
      <c r="AV154" s="31">
        <v>39.923845440385996</v>
      </c>
      <c r="AW154" s="706">
        <v>39.841479873258912</v>
      </c>
      <c r="AX154" s="31">
        <v>39.767320978340756</v>
      </c>
      <c r="AY154" s="31">
        <v>39.688742283601421</v>
      </c>
      <c r="AZ154" s="31">
        <v>39.61301234863376</v>
      </c>
      <c r="BA154" s="31">
        <v>39.536525873881153</v>
      </c>
      <c r="BB154" s="706">
        <v>39.462912859702975</v>
      </c>
      <c r="BC154" s="31">
        <v>39.389370453510956</v>
      </c>
      <c r="BD154" s="31">
        <v>39.314729454775836</v>
      </c>
      <c r="BE154" s="31">
        <v>39.240649217724027</v>
      </c>
      <c r="BF154" s="31">
        <v>39.165972267235936</v>
      </c>
      <c r="BG154" s="31">
        <v>39.089058566038041</v>
      </c>
      <c r="BH154" s="31">
        <v>39.013376704865223</v>
      </c>
      <c r="BI154" s="31">
        <v>38.93628750704579</v>
      </c>
      <c r="BJ154" s="31">
        <v>38.856916121533246</v>
      </c>
      <c r="BK154" s="31">
        <v>38.775522767112484</v>
      </c>
      <c r="BL154" s="31">
        <v>38.701921297533914</v>
      </c>
      <c r="BM154" s="31">
        <v>38.624136861122075</v>
      </c>
      <c r="BN154" s="31">
        <v>38.54905820652786</v>
      </c>
      <c r="BO154" s="31">
        <v>38.473269531971539</v>
      </c>
      <c r="BP154" s="31">
        <v>38.400204173255396</v>
      </c>
      <c r="BQ154" s="31">
        <v>38.327208751479141</v>
      </c>
      <c r="BR154" s="31">
        <v>38.253179257827256</v>
      </c>
      <c r="BS154" s="31">
        <v>38.179683483783023</v>
      </c>
      <c r="BT154" s="31">
        <v>38.105629045739391</v>
      </c>
      <c r="BU154" s="31">
        <v>38.02947184380244</v>
      </c>
      <c r="BV154" s="31">
        <v>37.954482338859997</v>
      </c>
    </row>
    <row r="155" spans="1:74" s="85" customFormat="1" ht="18" customHeight="1" x14ac:dyDescent="0.4">
      <c r="A155" s="860"/>
      <c r="B155" s="833" t="s">
        <v>61</v>
      </c>
      <c r="C155" s="874" t="s">
        <v>44</v>
      </c>
      <c r="D155" s="884"/>
      <c r="E155" s="31" t="str">
        <f t="shared" ref="E155:E158" si="51">B155</f>
        <v>3.G Limingkt CO2-eq</v>
      </c>
      <c r="F155" s="1288"/>
      <c r="G155" s="39"/>
      <c r="H155" s="1022"/>
      <c r="I155" s="1111"/>
      <c r="J155" s="1111"/>
      <c r="K155" s="1111"/>
      <c r="L155" s="1111"/>
      <c r="M155" s="1111"/>
      <c r="N155" s="1111"/>
      <c r="O155" s="1111"/>
      <c r="P155" s="1111"/>
      <c r="Q155" s="1111"/>
      <c r="R155" s="1111"/>
      <c r="S155" s="1111"/>
      <c r="T155" s="1111"/>
      <c r="U155" s="1111"/>
      <c r="V155" s="1111"/>
      <c r="W155" s="1111"/>
      <c r="X155" s="1297"/>
      <c r="Y155" s="1111"/>
      <c r="Z155" s="1111"/>
      <c r="AA155" s="1111"/>
      <c r="AB155" s="1111"/>
      <c r="AC155" s="1111"/>
      <c r="AD155" s="1111"/>
      <c r="AE155" s="1111"/>
      <c r="AF155" s="1111"/>
      <c r="AG155" s="1111"/>
      <c r="AH155" s="1111"/>
      <c r="AI155" s="1111"/>
      <c r="AJ155" s="1111"/>
      <c r="AK155" s="1111"/>
      <c r="AL155" s="1111"/>
      <c r="AM155" s="1111"/>
      <c r="AN155" s="1111"/>
      <c r="AO155" s="1111"/>
      <c r="AP155" s="1111"/>
      <c r="AQ155" s="1111"/>
      <c r="AR155" s="168">
        <f t="shared" si="46"/>
        <v>4.2993264233333335</v>
      </c>
      <c r="AS155" s="177">
        <v>3.4056871545286311</v>
      </c>
      <c r="AT155" s="177">
        <v>3.498919602138459</v>
      </c>
      <c r="AU155" s="177">
        <v>3.5921520497482815</v>
      </c>
      <c r="AV155" s="177">
        <v>3.6853844973581094</v>
      </c>
      <c r="AW155" s="1112">
        <v>3.7786169449679363</v>
      </c>
      <c r="AX155" s="177">
        <v>3.8718493925777642</v>
      </c>
      <c r="AY155" s="177">
        <v>3.965081840187592</v>
      </c>
      <c r="AZ155" s="177">
        <v>4.058314287797419</v>
      </c>
      <c r="BA155" s="177">
        <v>4.1515467354072415</v>
      </c>
      <c r="BB155" s="1112">
        <v>4.2447791830170694</v>
      </c>
      <c r="BC155" s="177">
        <v>4.3380116306268963</v>
      </c>
      <c r="BD155" s="177">
        <v>4.4312440782367251</v>
      </c>
      <c r="BE155" s="177">
        <v>4.524476525846552</v>
      </c>
      <c r="BF155" s="177">
        <v>4.6177089734563808</v>
      </c>
      <c r="BG155" s="177">
        <v>4.7109414210662024</v>
      </c>
      <c r="BH155" s="177">
        <v>4.8041738686760294</v>
      </c>
      <c r="BI155" s="177">
        <v>4.8974063162858572</v>
      </c>
      <c r="BJ155" s="177">
        <v>4.9906387638956851</v>
      </c>
      <c r="BK155" s="177">
        <v>5.0838712115055138</v>
      </c>
      <c r="BL155" s="177">
        <v>5.1771036591153408</v>
      </c>
      <c r="BM155" s="177">
        <v>5.2703361067251624</v>
      </c>
      <c r="BN155" s="177">
        <v>5.3635685543349902</v>
      </c>
      <c r="BO155" s="177">
        <v>5.4568010019448181</v>
      </c>
      <c r="BP155" s="177">
        <v>5.5500334495546451</v>
      </c>
      <c r="BQ155" s="177">
        <v>5.6432658971644729</v>
      </c>
      <c r="BR155" s="177">
        <v>5.7364983447742954</v>
      </c>
      <c r="BS155" s="177">
        <v>5.8297307923841233</v>
      </c>
      <c r="BT155" s="177">
        <v>5.9229632399939502</v>
      </c>
      <c r="BU155" s="177">
        <v>6.0161956876037781</v>
      </c>
      <c r="BV155" s="177">
        <v>6.1094281352136068</v>
      </c>
    </row>
    <row r="156" spans="1:74" s="85" customFormat="1" ht="18" customHeight="1" x14ac:dyDescent="0.4">
      <c r="A156" s="860"/>
      <c r="B156" s="833" t="s">
        <v>76</v>
      </c>
      <c r="C156" s="874" t="s">
        <v>44</v>
      </c>
      <c r="D156" s="884"/>
      <c r="E156" s="31" t="str">
        <f t="shared" si="51"/>
        <v>3.H Urea applicationkt CO2-eq</v>
      </c>
      <c r="F156" s="1288"/>
      <c r="G156" s="39"/>
      <c r="H156" s="1022"/>
      <c r="I156" s="1111"/>
      <c r="J156" s="1111"/>
      <c r="K156" s="1111"/>
      <c r="L156" s="1111"/>
      <c r="M156" s="1111"/>
      <c r="N156" s="1111"/>
      <c r="O156" s="1111"/>
      <c r="P156" s="1111"/>
      <c r="Q156" s="1111"/>
      <c r="R156" s="1111"/>
      <c r="S156" s="1111"/>
      <c r="T156" s="1111"/>
      <c r="U156" s="1111"/>
      <c r="V156" s="1111"/>
      <c r="W156" s="1111"/>
      <c r="X156" s="1297"/>
      <c r="Y156" s="1111"/>
      <c r="Z156" s="1111"/>
      <c r="AA156" s="1111"/>
      <c r="AB156" s="1111"/>
      <c r="AC156" s="1111"/>
      <c r="AD156" s="1111"/>
      <c r="AE156" s="1111"/>
      <c r="AF156" s="1111"/>
      <c r="AG156" s="1111"/>
      <c r="AH156" s="1111"/>
      <c r="AI156" s="1111"/>
      <c r="AJ156" s="1111"/>
      <c r="AK156" s="1111"/>
      <c r="AL156" s="1111"/>
      <c r="AM156" s="1111"/>
      <c r="AN156" s="1111"/>
      <c r="AO156" s="1111"/>
      <c r="AP156" s="1111"/>
      <c r="AQ156" s="1111"/>
      <c r="AR156" s="168">
        <f t="shared" si="46"/>
        <v>2.0180196666666665</v>
      </c>
      <c r="AS156" s="177">
        <v>1.7660448666666664</v>
      </c>
      <c r="AT156" s="177">
        <v>1.5070959018055525</v>
      </c>
      <c r="AU156" s="177">
        <v>1.5069166563835967</v>
      </c>
      <c r="AV156" s="177">
        <v>1.506645698105938</v>
      </c>
      <c r="AW156" s="1112">
        <v>1.5062927229114387</v>
      </c>
      <c r="AX156" s="177">
        <v>1.5062492921458546</v>
      </c>
      <c r="AY156" s="177">
        <v>1.5060379868917992</v>
      </c>
      <c r="AZ156" s="177">
        <v>1.5059342017711068</v>
      </c>
      <c r="BA156" s="177">
        <v>1.505801219629896</v>
      </c>
      <c r="BB156" s="1112">
        <v>1.5057773875649565</v>
      </c>
      <c r="BC156" s="177">
        <v>1.5057561663461239</v>
      </c>
      <c r="BD156" s="177">
        <v>1.5056927919577214</v>
      </c>
      <c r="BE156" s="177">
        <v>1.5056506980773372</v>
      </c>
      <c r="BF156" s="177">
        <v>1.5055855089716166</v>
      </c>
      <c r="BG156" s="177">
        <v>1.5054339326690347</v>
      </c>
      <c r="BH156" s="177">
        <v>1.5053293198790481</v>
      </c>
      <c r="BI156" s="177">
        <v>1.5051699112788641</v>
      </c>
      <c r="BJ156" s="177">
        <v>1.5049215154383233</v>
      </c>
      <c r="BK156" s="177">
        <v>1.5045937274326873</v>
      </c>
      <c r="BL156" s="177">
        <v>1.5045676197306099</v>
      </c>
      <c r="BM156" s="177">
        <v>1.5043784903182509</v>
      </c>
      <c r="BN156" s="177">
        <v>1.5042942327570714</v>
      </c>
      <c r="BO156" s="177">
        <v>1.5041818963345499</v>
      </c>
      <c r="BP156" s="177">
        <v>1.5041758084353363</v>
      </c>
      <c r="BQ156" s="177">
        <v>1.5041724420879876</v>
      </c>
      <c r="BR156" s="177">
        <v>1.5041284028404565</v>
      </c>
      <c r="BS156" s="177">
        <v>1.5041052215180202</v>
      </c>
      <c r="BT156" s="177">
        <v>1.5040599005756889</v>
      </c>
      <c r="BU156" s="177">
        <v>1.5039312490014052</v>
      </c>
      <c r="BV156" s="177">
        <v>1.5038483702401733</v>
      </c>
    </row>
    <row r="157" spans="1:74" s="85" customFormat="1" ht="18" customHeight="1" x14ac:dyDescent="0.4">
      <c r="A157" s="860"/>
      <c r="B157" s="833" t="s">
        <v>77</v>
      </c>
      <c r="C157" s="874" t="s">
        <v>44</v>
      </c>
      <c r="D157" s="884"/>
      <c r="E157" s="31" t="str">
        <f t="shared" si="51"/>
        <v>3.I Other carbon-containing fertilizerskt CO2-eq</v>
      </c>
      <c r="F157" s="1288"/>
      <c r="G157" s="39"/>
      <c r="H157" s="1022"/>
      <c r="I157" s="1111"/>
      <c r="J157" s="1111"/>
      <c r="K157" s="1111"/>
      <c r="L157" s="1111"/>
      <c r="M157" s="1111"/>
      <c r="N157" s="1111"/>
      <c r="O157" s="1111"/>
      <c r="P157" s="1111"/>
      <c r="Q157" s="1111"/>
      <c r="R157" s="1111"/>
      <c r="S157" s="1111"/>
      <c r="T157" s="1111"/>
      <c r="U157" s="1111"/>
      <c r="V157" s="1111"/>
      <c r="W157" s="1111"/>
      <c r="X157" s="1297"/>
      <c r="Y157" s="1111"/>
      <c r="Z157" s="1111"/>
      <c r="AA157" s="1111"/>
      <c r="AB157" s="1111"/>
      <c r="AC157" s="1111"/>
      <c r="AD157" s="1111"/>
      <c r="AE157" s="1111"/>
      <c r="AF157" s="1111"/>
      <c r="AG157" s="1111"/>
      <c r="AH157" s="1111"/>
      <c r="AI157" s="1111"/>
      <c r="AJ157" s="1111"/>
      <c r="AK157" s="1111"/>
      <c r="AL157" s="1111"/>
      <c r="AM157" s="1111"/>
      <c r="AN157" s="1111"/>
      <c r="AO157" s="1111"/>
      <c r="AP157" s="1111"/>
      <c r="AQ157" s="1111"/>
      <c r="AR157" s="168">
        <f t="shared" si="46"/>
        <v>1.1488562849915438</v>
      </c>
      <c r="AS157" s="177">
        <v>1.2828681094459131</v>
      </c>
      <c r="AT157" s="177">
        <v>1.0489965386120725</v>
      </c>
      <c r="AU157" s="177">
        <v>1.0050213536770252</v>
      </c>
      <c r="AV157" s="177">
        <v>0.96283103761918021</v>
      </c>
      <c r="AW157" s="1112">
        <v>0.92236159888302671</v>
      </c>
      <c r="AX157" s="177">
        <v>0.88377473319064981</v>
      </c>
      <c r="AY157" s="177">
        <v>0.84670776229733691</v>
      </c>
      <c r="AZ157" s="177">
        <v>0.81125334693632423</v>
      </c>
      <c r="BA157" s="177">
        <v>0.77726844888644231</v>
      </c>
      <c r="BB157" s="1112">
        <v>0.74476122094829578</v>
      </c>
      <c r="BC157" s="177">
        <v>0.71361476029618376</v>
      </c>
      <c r="BD157" s="177">
        <v>0.68375172512343063</v>
      </c>
      <c r="BE157" s="177">
        <v>0.65514764359136057</v>
      </c>
      <c r="BF157" s="177">
        <v>0.62773055601529115</v>
      </c>
      <c r="BG157" s="177">
        <v>0.60142632522005846</v>
      </c>
      <c r="BH157" s="177">
        <v>0.57624231079373134</v>
      </c>
      <c r="BI157" s="177">
        <v>0.55209274547852305</v>
      </c>
      <c r="BJ157" s="177">
        <v>0.52892397537674407</v>
      </c>
      <c r="BK157" s="177">
        <v>0.50670074038663226</v>
      </c>
      <c r="BL157" s="177">
        <v>0.48550856148297855</v>
      </c>
      <c r="BM157" s="177">
        <v>0.4651523149336047</v>
      </c>
      <c r="BN157" s="177">
        <v>0.44568062210600756</v>
      </c>
      <c r="BO157" s="177">
        <v>0.42701605925996622</v>
      </c>
      <c r="BP157" s="177">
        <v>0.40916204479285151</v>
      </c>
      <c r="BQ157" s="177">
        <v>0.39205523580134111</v>
      </c>
      <c r="BR157" s="177">
        <v>0.37565349379724905</v>
      </c>
      <c r="BS157" s="177">
        <v>0.35994291446159526</v>
      </c>
      <c r="BT157" s="177">
        <v>0.34488430618327948</v>
      </c>
      <c r="BU157" s="177">
        <v>0.33043738201596351</v>
      </c>
      <c r="BV157" s="177">
        <v>0.31660526203294753</v>
      </c>
    </row>
    <row r="158" spans="1:74" s="85" customFormat="1" ht="18" customHeight="1" x14ac:dyDescent="0.4">
      <c r="A158" s="860"/>
      <c r="B158" s="833" t="s">
        <v>404</v>
      </c>
      <c r="C158" s="874" t="s">
        <v>44</v>
      </c>
      <c r="D158" s="884"/>
      <c r="E158" s="31" t="str">
        <f t="shared" si="51"/>
        <v>3D2_Inorganic N Fertilizer_CO2e_kt</v>
      </c>
      <c r="F158" s="1288"/>
      <c r="G158" s="39"/>
      <c r="H158" s="1022"/>
      <c r="I158" s="1111"/>
      <c r="J158" s="1111"/>
      <c r="K158" s="1111"/>
      <c r="L158" s="1111"/>
      <c r="M158" s="1111"/>
      <c r="N158" s="1111"/>
      <c r="O158" s="1111"/>
      <c r="P158" s="1111"/>
      <c r="Q158" s="1111"/>
      <c r="R158" s="1111"/>
      <c r="S158" s="1111"/>
      <c r="T158" s="1111"/>
      <c r="U158" s="1111"/>
      <c r="V158" s="1111"/>
      <c r="W158" s="1111"/>
      <c r="X158" s="1297"/>
      <c r="Y158" s="1111"/>
      <c r="Z158" s="1111"/>
      <c r="AA158" s="1111"/>
      <c r="AB158" s="1111"/>
      <c r="AC158" s="1111"/>
      <c r="AD158" s="1111"/>
      <c r="AE158" s="1111"/>
      <c r="AF158" s="1111"/>
      <c r="AG158" s="1111"/>
      <c r="AH158" s="1111"/>
      <c r="AI158" s="1111"/>
      <c r="AJ158" s="1111"/>
      <c r="AK158" s="1111"/>
      <c r="AL158" s="1111"/>
      <c r="AM158" s="1111"/>
      <c r="AN158" s="1111"/>
      <c r="AO158" s="1111"/>
      <c r="AP158" s="1111"/>
      <c r="AQ158" s="1111"/>
      <c r="AR158" s="168">
        <f t="shared" si="46"/>
        <v>14.655153389194027</v>
      </c>
      <c r="AS158" s="31">
        <v>15.340098479278357</v>
      </c>
      <c r="AT158" s="31">
        <v>13.121664261457738</v>
      </c>
      <c r="AU158" s="31">
        <v>13.130395496460009</v>
      </c>
      <c r="AV158" s="31">
        <v>13.102665718768613</v>
      </c>
      <c r="AW158" s="706">
        <v>13.062893342693448</v>
      </c>
      <c r="AX158" s="31">
        <v>13.0246984894719</v>
      </c>
      <c r="AY158" s="31">
        <v>13.009636049531103</v>
      </c>
      <c r="AZ158" s="31">
        <v>12.988571068910012</v>
      </c>
      <c r="BA158" s="31">
        <v>12.961427944277437</v>
      </c>
      <c r="BB158" s="706">
        <v>12.935432122500526</v>
      </c>
      <c r="BC158" s="31">
        <v>12.909675978863598</v>
      </c>
      <c r="BD158" s="31">
        <v>12.886935248529515</v>
      </c>
      <c r="BE158" s="31">
        <v>12.862324084474826</v>
      </c>
      <c r="BF158" s="31">
        <v>12.837272206647606</v>
      </c>
      <c r="BG158" s="31">
        <v>12.811677267042324</v>
      </c>
      <c r="BH158" s="31">
        <v>12.786666209522904</v>
      </c>
      <c r="BI158" s="31">
        <v>12.762305732656422</v>
      </c>
      <c r="BJ158" s="31">
        <v>12.735114199331175</v>
      </c>
      <c r="BK158" s="31">
        <v>12.707773898640177</v>
      </c>
      <c r="BL158" s="31">
        <v>12.684265086850884</v>
      </c>
      <c r="BM158" s="31">
        <v>12.657350953679826</v>
      </c>
      <c r="BN158" s="31">
        <v>12.632804405395209</v>
      </c>
      <c r="BO158" s="31">
        <v>12.608038278911492</v>
      </c>
      <c r="BP158" s="31">
        <v>12.584720836777089</v>
      </c>
      <c r="BQ158" s="31">
        <v>12.559872456771023</v>
      </c>
      <c r="BR158" s="31">
        <v>12.535273871000555</v>
      </c>
      <c r="BS158" s="31">
        <v>12.510802104242236</v>
      </c>
      <c r="BT158" s="31">
        <v>12.486583798410793</v>
      </c>
      <c r="BU158" s="31">
        <v>12.461573359530187</v>
      </c>
      <c r="BV158" s="31">
        <v>12.436706682378222</v>
      </c>
    </row>
    <row r="159" spans="1:74" s="68" customFormat="1" ht="18" customHeight="1" x14ac:dyDescent="0.4">
      <c r="A159" s="859"/>
      <c r="B159" s="833"/>
      <c r="C159" s="1108" t="s">
        <v>415</v>
      </c>
      <c r="D159" s="884" t="s">
        <v>44</v>
      </c>
      <c r="E159" s="11" t="s">
        <v>406</v>
      </c>
      <c r="F159" s="10" t="str">
        <f>$F$128</f>
        <v>Losun vegna notkunar lífræns áburðar, þ.e. húsdýraáburðar, seyru og annars lífræns áburðar</v>
      </c>
      <c r="G159" s="10" t="s">
        <v>433</v>
      </c>
      <c r="H159" s="64"/>
      <c r="I159" s="12"/>
      <c r="J159" s="12"/>
      <c r="K159" s="12"/>
      <c r="L159" s="12"/>
      <c r="M159" s="12"/>
      <c r="N159" s="12"/>
      <c r="O159" s="12"/>
      <c r="P159" s="12"/>
      <c r="Q159" s="12"/>
      <c r="R159" s="12"/>
      <c r="S159" s="12"/>
      <c r="T159" s="12"/>
      <c r="U159" s="12"/>
      <c r="V159" s="12"/>
      <c r="W159" s="12"/>
      <c r="X159" s="791"/>
      <c r="Y159" s="12"/>
      <c r="Z159" s="12"/>
      <c r="AA159" s="12"/>
      <c r="AB159" s="12"/>
      <c r="AC159" s="12"/>
      <c r="AD159" s="12"/>
      <c r="AE159" s="12"/>
      <c r="AF159" s="12"/>
      <c r="AG159" s="12"/>
      <c r="AH159" s="12"/>
      <c r="AI159" s="12"/>
      <c r="AJ159" s="12"/>
      <c r="AK159" s="12"/>
      <c r="AL159" s="12"/>
      <c r="AM159" s="12"/>
      <c r="AN159" s="12"/>
      <c r="AO159" s="12"/>
      <c r="AP159" s="12"/>
      <c r="AQ159" s="12"/>
      <c r="AR159" s="168">
        <f t="shared" si="46"/>
        <v>32.395897460630628</v>
      </c>
      <c r="AS159" s="11">
        <f>SUM(AS160:AS163)</f>
        <v>32.831760961763685</v>
      </c>
      <c r="AT159" s="11">
        <f t="shared" ref="AT159:BA159" si="52">SUM(AT160:AT163)</f>
        <v>32.814612838918471</v>
      </c>
      <c r="AU159" s="11">
        <f t="shared" si="52"/>
        <v>32.803257477149728</v>
      </c>
      <c r="AV159" s="11">
        <f t="shared" si="52"/>
        <v>32.860526822527468</v>
      </c>
      <c r="AW159" s="704">
        <f t="shared" si="52"/>
        <v>32.941187880691793</v>
      </c>
      <c r="AX159" s="11">
        <f t="shared" si="52"/>
        <v>32.872924299641973</v>
      </c>
      <c r="AY159" s="11">
        <f t="shared" si="52"/>
        <v>32.911263519559931</v>
      </c>
      <c r="AZ159" s="11">
        <f t="shared" si="52"/>
        <v>32.8781850878499</v>
      </c>
      <c r="BA159" s="11">
        <f t="shared" si="52"/>
        <v>32.855703330928371</v>
      </c>
      <c r="BB159" s="704">
        <f t="shared" ref="BB159:BO159" si="53">SUM(BB160:BB163)</f>
        <v>32.77863918072044</v>
      </c>
      <c r="BC159" s="11">
        <f t="shared" si="53"/>
        <v>32.729027652635644</v>
      </c>
      <c r="BD159" s="11">
        <f t="shared" si="53"/>
        <v>32.685890338992621</v>
      </c>
      <c r="BE159" s="11">
        <f t="shared" si="53"/>
        <v>32.634789989557341</v>
      </c>
      <c r="BF159" s="11">
        <f t="shared" si="53"/>
        <v>32.584946740656456</v>
      </c>
      <c r="BG159" s="11">
        <f t="shared" si="53"/>
        <v>32.571830710053881</v>
      </c>
      <c r="BH159" s="11">
        <f t="shared" si="53"/>
        <v>32.543972192696614</v>
      </c>
      <c r="BI159" s="11">
        <f t="shared" si="53"/>
        <v>32.521738782861718</v>
      </c>
      <c r="BJ159" s="11">
        <f t="shared" si="53"/>
        <v>32.564120603301646</v>
      </c>
      <c r="BK159" s="11">
        <f t="shared" si="53"/>
        <v>32.628626962724923</v>
      </c>
      <c r="BL159" s="11">
        <f t="shared" si="53"/>
        <v>32.552029151399857</v>
      </c>
      <c r="BM159" s="11">
        <f t="shared" si="53"/>
        <v>32.575881350638852</v>
      </c>
      <c r="BN159" s="11">
        <f t="shared" si="53"/>
        <v>32.532297889785369</v>
      </c>
      <c r="BO159" s="11">
        <f t="shared" si="53"/>
        <v>32.498663271185009</v>
      </c>
      <c r="BP159" s="11">
        <f t="shared" ref="BP159:BU159" si="54">SUM(BP160:BP163)</f>
        <v>32.413444721152516</v>
      </c>
      <c r="BQ159" s="11">
        <f t="shared" si="54"/>
        <v>32.353766943289301</v>
      </c>
      <c r="BR159" s="11">
        <f t="shared" si="54"/>
        <v>32.300262139117585</v>
      </c>
      <c r="BS159" s="11">
        <f t="shared" si="54"/>
        <v>32.239152495046184</v>
      </c>
      <c r="BT159" s="11">
        <f t="shared" si="54"/>
        <v>32.179253946109355</v>
      </c>
      <c r="BU159" s="11">
        <f t="shared" si="54"/>
        <v>32.153860924178346</v>
      </c>
      <c r="BV159" s="11">
        <f t="shared" ref="BV159" si="55">SUM(BV160:BV163)</f>
        <v>32.114406963255689</v>
      </c>
    </row>
    <row r="160" spans="1:74" s="85" customFormat="1" ht="18" customHeight="1" x14ac:dyDescent="0.4">
      <c r="A160" s="860"/>
      <c r="B160" s="833" t="s">
        <v>422</v>
      </c>
      <c r="C160" s="874" t="s">
        <v>44</v>
      </c>
      <c r="D160" s="884"/>
      <c r="E160" s="31" t="str">
        <f>B160</f>
        <v>3.D.1.b.iAnimal manure applied to soils kt CO2-eq</v>
      </c>
      <c r="F160" s="39"/>
      <c r="G160" s="39"/>
      <c r="H160" s="1022"/>
      <c r="I160" s="1111"/>
      <c r="J160" s="1111"/>
      <c r="K160" s="1111"/>
      <c r="L160" s="1111"/>
      <c r="M160" s="1111"/>
      <c r="N160" s="1111"/>
      <c r="O160" s="1111"/>
      <c r="P160" s="1111"/>
      <c r="Q160" s="1111"/>
      <c r="R160" s="1111"/>
      <c r="S160" s="1111"/>
      <c r="T160" s="1111"/>
      <c r="U160" s="1111"/>
      <c r="V160" s="1111"/>
      <c r="W160" s="1111"/>
      <c r="X160" s="1297"/>
      <c r="Y160" s="1111"/>
      <c r="Z160" s="1111"/>
      <c r="AA160" s="1111"/>
      <c r="AB160" s="1111"/>
      <c r="AC160" s="1111"/>
      <c r="AD160" s="1111"/>
      <c r="AE160" s="1111"/>
      <c r="AF160" s="1111"/>
      <c r="AG160" s="1111"/>
      <c r="AH160" s="1111"/>
      <c r="AI160" s="1111"/>
      <c r="AJ160" s="1111"/>
      <c r="AK160" s="1111"/>
      <c r="AL160" s="1111"/>
      <c r="AM160" s="1111"/>
      <c r="AN160" s="1111"/>
      <c r="AO160" s="1111"/>
      <c r="AP160" s="1111"/>
      <c r="AQ160" s="1111"/>
      <c r="AR160" s="168">
        <f>AR128</f>
        <v>32.395897460630628</v>
      </c>
      <c r="AS160" s="1098">
        <v>20.390043134977898</v>
      </c>
      <c r="AT160" s="1098">
        <v>20.292360251677778</v>
      </c>
      <c r="AU160" s="1098">
        <v>20.209565515888627</v>
      </c>
      <c r="AV160" s="1098">
        <v>20.150905450506247</v>
      </c>
      <c r="AW160" s="1113">
        <v>20.113682107706417</v>
      </c>
      <c r="AX160" s="1098">
        <v>19.994397939781702</v>
      </c>
      <c r="AY160" s="1098">
        <v>19.919317661227673</v>
      </c>
      <c r="AZ160" s="1098">
        <v>19.815755670318797</v>
      </c>
      <c r="BA160" s="1098">
        <v>19.719764956832666</v>
      </c>
      <c r="BB160" s="1113">
        <v>19.595045511395835</v>
      </c>
      <c r="BC160" s="1098">
        <v>19.469625854119947</v>
      </c>
      <c r="BD160" s="1098">
        <v>19.355197984534293</v>
      </c>
      <c r="BE160" s="1098">
        <v>19.235168354620559</v>
      </c>
      <c r="BF160" s="1098">
        <v>19.121111709828618</v>
      </c>
      <c r="BG160" s="1098">
        <v>19.029428417156431</v>
      </c>
      <c r="BH160" s="1098">
        <v>18.925432563526183</v>
      </c>
      <c r="BI160" s="1098">
        <v>18.835515909934212</v>
      </c>
      <c r="BJ160" s="1098">
        <v>18.768426961133198</v>
      </c>
      <c r="BK160" s="1098">
        <v>18.721563523570619</v>
      </c>
      <c r="BL160" s="1098">
        <v>18.596787054046604</v>
      </c>
      <c r="BM160" s="1098">
        <v>18.513846063628751</v>
      </c>
      <c r="BN160" s="1098">
        <v>18.403853060129659</v>
      </c>
      <c r="BO160" s="1098">
        <v>18.300966055675882</v>
      </c>
      <c r="BP160" s="1098">
        <v>18.170851686582584</v>
      </c>
      <c r="BQ160" s="1098">
        <v>18.040043736199195</v>
      </c>
      <c r="BR160" s="1098">
        <v>17.919582287034853</v>
      </c>
      <c r="BS160" s="1098">
        <v>17.793789418619365</v>
      </c>
      <c r="BT160" s="1098">
        <v>17.67358896139455</v>
      </c>
      <c r="BU160" s="1098">
        <v>17.574421908678534</v>
      </c>
      <c r="BV160" s="1098">
        <v>17.463583645980819</v>
      </c>
    </row>
    <row r="161" spans="1:74" s="85" customFormat="1" ht="18" customHeight="1" x14ac:dyDescent="0.4">
      <c r="A161" s="860"/>
      <c r="B161" s="833" t="s">
        <v>423</v>
      </c>
      <c r="C161" s="874" t="s">
        <v>44</v>
      </c>
      <c r="D161" s="884"/>
      <c r="E161" s="31" t="str">
        <f>B161</f>
        <v>3.D.1.b.iiSewage sludge applied to soils kt CO2-eq</v>
      </c>
      <c r="F161" s="39"/>
      <c r="G161" s="39"/>
      <c r="H161" s="1022"/>
      <c r="I161" s="1111"/>
      <c r="J161" s="1111"/>
      <c r="K161" s="1111"/>
      <c r="L161" s="1111"/>
      <c r="M161" s="1111"/>
      <c r="N161" s="1111"/>
      <c r="O161" s="1111"/>
      <c r="P161" s="1111"/>
      <c r="Q161" s="1111"/>
      <c r="R161" s="1111"/>
      <c r="S161" s="1111"/>
      <c r="T161" s="1111"/>
      <c r="U161" s="1111"/>
      <c r="V161" s="1111"/>
      <c r="W161" s="1111"/>
      <c r="X161" s="1297"/>
      <c r="Y161" s="1111"/>
      <c r="Z161" s="1111"/>
      <c r="AA161" s="1111"/>
      <c r="AB161" s="1111"/>
      <c r="AC161" s="1111"/>
      <c r="AD161" s="1111"/>
      <c r="AE161" s="1111"/>
      <c r="AF161" s="1111"/>
      <c r="AG161" s="1111"/>
      <c r="AH161" s="1111"/>
      <c r="AI161" s="1111"/>
      <c r="AJ161" s="1111"/>
      <c r="AK161" s="1111"/>
      <c r="AL161" s="1111"/>
      <c r="AM161" s="1111"/>
      <c r="AN161" s="1111"/>
      <c r="AO161" s="1111"/>
      <c r="AP161" s="1111"/>
      <c r="AQ161" s="1111"/>
      <c r="AR161" s="168"/>
      <c r="AS161" s="1098">
        <v>0.15420223390248214</v>
      </c>
      <c r="AT161" s="1098">
        <v>0.16619374534916903</v>
      </c>
      <c r="AU161" s="1098">
        <v>0.17817934236333588</v>
      </c>
      <c r="AV161" s="1098">
        <v>0.19015903077632432</v>
      </c>
      <c r="AW161" s="1113">
        <v>0.20213281641086198</v>
      </c>
      <c r="AX161" s="1098">
        <v>0.21410070508103005</v>
      </c>
      <c r="AY161" s="1098">
        <v>0.22606270259236022</v>
      </c>
      <c r="AZ161" s="1098">
        <v>0.23801881474183514</v>
      </c>
      <c r="BA161" s="1098">
        <v>0.24996904731785569</v>
      </c>
      <c r="BB161" s="1113">
        <v>0.26191340610027325</v>
      </c>
      <c r="BC161" s="1098">
        <v>0.27385189686045486</v>
      </c>
      <c r="BD161" s="1098">
        <v>0.2857845253612506</v>
      </c>
      <c r="BE161" s="1098">
        <v>0.29771129735702589</v>
      </c>
      <c r="BF161" s="1098">
        <v>0.30963221859369428</v>
      </c>
      <c r="BG161" s="1098">
        <v>0.32154729480865191</v>
      </c>
      <c r="BH161" s="1098">
        <v>0.33345653173097278</v>
      </c>
      <c r="BI161" s="1098">
        <v>0.34535993508121382</v>
      </c>
      <c r="BJ161" s="1098">
        <v>0.35725751057154426</v>
      </c>
      <c r="BK161" s="1098">
        <v>0.36914926390577879</v>
      </c>
      <c r="BL161" s="1098">
        <v>0.38103520077937686</v>
      </c>
      <c r="BM161" s="1098">
        <v>0.39291532687941044</v>
      </c>
      <c r="BN161" s="1098">
        <v>0.40478964788459681</v>
      </c>
      <c r="BO161" s="1098">
        <v>0.41665816946539491</v>
      </c>
      <c r="BP161" s="1098">
        <v>0.42852089728387688</v>
      </c>
      <c r="BQ161" s="1098">
        <v>0.44037783699388866</v>
      </c>
      <c r="BR161" s="1098">
        <v>0.45222899424101909</v>
      </c>
      <c r="BS161" s="1098">
        <v>0.4640743746625664</v>
      </c>
      <c r="BT161" s="1098">
        <v>0.47591398388753842</v>
      </c>
      <c r="BU161" s="1098">
        <v>0.48774782753684742</v>
      </c>
      <c r="BV161" s="1098">
        <v>0.49957591122305045</v>
      </c>
    </row>
    <row r="162" spans="1:74" s="85" customFormat="1" ht="18" customHeight="1" x14ac:dyDescent="0.4">
      <c r="A162" s="860"/>
      <c r="B162" s="833" t="s">
        <v>424</v>
      </c>
      <c r="C162" s="874" t="s">
        <v>44</v>
      </c>
      <c r="D162" s="884"/>
      <c r="E162" s="31" t="str">
        <f>B162</f>
        <v>3.D.1.b.iiiOther organic fertilizers applied to soils kt CO2-eq</v>
      </c>
      <c r="F162" s="39"/>
      <c r="G162" s="39"/>
      <c r="H162" s="1022"/>
      <c r="I162" s="1111"/>
      <c r="J162" s="1111"/>
      <c r="K162" s="1111"/>
      <c r="L162" s="1111"/>
      <c r="M162" s="1111"/>
      <c r="N162" s="1111"/>
      <c r="O162" s="1111"/>
      <c r="P162" s="1111"/>
      <c r="Q162" s="1111"/>
      <c r="R162" s="1111"/>
      <c r="S162" s="1111"/>
      <c r="T162" s="1111"/>
      <c r="U162" s="1111"/>
      <c r="V162" s="1111"/>
      <c r="W162" s="1111"/>
      <c r="X162" s="1297"/>
      <c r="Y162" s="1111"/>
      <c r="Z162" s="1111"/>
      <c r="AA162" s="1111"/>
      <c r="AB162" s="1111"/>
      <c r="AC162" s="1111"/>
      <c r="AD162" s="1111"/>
      <c r="AE162" s="1111"/>
      <c r="AF162" s="1111"/>
      <c r="AG162" s="1111"/>
      <c r="AH162" s="1111"/>
      <c r="AI162" s="1111"/>
      <c r="AJ162" s="1111"/>
      <c r="AK162" s="1111"/>
      <c r="AL162" s="1111"/>
      <c r="AM162" s="1111"/>
      <c r="AN162" s="1111"/>
      <c r="AO162" s="1111"/>
      <c r="AP162" s="1111"/>
      <c r="AQ162" s="1111"/>
      <c r="AR162" s="168"/>
      <c r="AS162" s="1098">
        <v>1.3628419292803136</v>
      </c>
      <c r="AT162" s="1098">
        <v>1.4413216955412216</v>
      </c>
      <c r="AU162" s="1098">
        <v>1.5198014618021327</v>
      </c>
      <c r="AV162" s="1098">
        <v>1.598281228063027</v>
      </c>
      <c r="AW162" s="1113">
        <v>1.6767609943239346</v>
      </c>
      <c r="AX162" s="1098">
        <v>1.7552407605848563</v>
      </c>
      <c r="AY162" s="1098">
        <v>1.833720526845747</v>
      </c>
      <c r="AZ162" s="1098">
        <v>1.9122002931066582</v>
      </c>
      <c r="BA162" s="1098">
        <v>1.9906800593675522</v>
      </c>
      <c r="BB162" s="1113">
        <v>2.0691598256284598</v>
      </c>
      <c r="BC162" s="1098">
        <v>2.1476395918893707</v>
      </c>
      <c r="BD162" s="1098">
        <v>2.2261193581502612</v>
      </c>
      <c r="BE162" s="1098">
        <v>2.3045991244111841</v>
      </c>
      <c r="BF162" s="1098">
        <v>2.3830788906720781</v>
      </c>
      <c r="BG162" s="1098">
        <v>2.4615586569329855</v>
      </c>
      <c r="BH162" s="1098">
        <v>2.5400384231938968</v>
      </c>
      <c r="BI162" s="1098">
        <v>2.6185181894547873</v>
      </c>
      <c r="BJ162" s="1098">
        <v>2.6969979557156991</v>
      </c>
      <c r="BK162" s="1098">
        <v>2.7754777219766096</v>
      </c>
      <c r="BL162" s="1098">
        <v>2.8539574882375107</v>
      </c>
      <c r="BM162" s="1098">
        <v>2.9324372544984221</v>
      </c>
      <c r="BN162" s="1098">
        <v>3.0109170207593126</v>
      </c>
      <c r="BO162" s="1098">
        <v>3.0893967870202244</v>
      </c>
      <c r="BP162" s="1098">
        <v>3.1678765532811348</v>
      </c>
      <c r="BQ162" s="1098">
        <v>3.2463563195420253</v>
      </c>
      <c r="BR162" s="1098">
        <v>3.3248360858029367</v>
      </c>
      <c r="BS162" s="1098">
        <v>3.4033158520638378</v>
      </c>
      <c r="BT162" s="1098">
        <v>3.4817956183247492</v>
      </c>
      <c r="BU162" s="1098">
        <v>3.5602753845856605</v>
      </c>
      <c r="BV162" s="1098">
        <v>3.6387551508465514</v>
      </c>
    </row>
    <row r="163" spans="1:74" s="85" customFormat="1" ht="18" customHeight="1" x14ac:dyDescent="0.4">
      <c r="A163" s="860"/>
      <c r="B163" s="833" t="s">
        <v>407</v>
      </c>
      <c r="C163" s="874" t="s">
        <v>44</v>
      </c>
      <c r="D163" s="884"/>
      <c r="E163" s="31" t="str">
        <f t="shared" ref="E163" si="56">B163</f>
        <v>3D2_Organic N Fertilizer_CO2e_kt</v>
      </c>
      <c r="F163" s="39"/>
      <c r="G163" s="39"/>
      <c r="H163" s="1022"/>
      <c r="I163" s="1111"/>
      <c r="J163" s="1111"/>
      <c r="K163" s="1111"/>
      <c r="L163" s="1111"/>
      <c r="M163" s="1111"/>
      <c r="N163" s="1111"/>
      <c r="O163" s="1111"/>
      <c r="P163" s="1111"/>
      <c r="Q163" s="1111"/>
      <c r="R163" s="1111"/>
      <c r="S163" s="1111"/>
      <c r="T163" s="1111"/>
      <c r="U163" s="1111"/>
      <c r="V163" s="1111"/>
      <c r="W163" s="1111"/>
      <c r="X163" s="1297"/>
      <c r="Y163" s="1111"/>
      <c r="Z163" s="1111"/>
      <c r="AA163" s="1111"/>
      <c r="AB163" s="1111"/>
      <c r="AC163" s="1111"/>
      <c r="AD163" s="1111"/>
      <c r="AE163" s="1111"/>
      <c r="AF163" s="1111"/>
      <c r="AG163" s="1111"/>
      <c r="AH163" s="1111"/>
      <c r="AI163" s="1111"/>
      <c r="AJ163" s="1111"/>
      <c r="AK163" s="1111"/>
      <c r="AL163" s="1111"/>
      <c r="AM163" s="1111"/>
      <c r="AN163" s="1111"/>
      <c r="AO163" s="1111"/>
      <c r="AP163" s="1111"/>
      <c r="AQ163" s="1111"/>
      <c r="AR163" s="168">
        <f>AR129</f>
        <v>20.337749163399533</v>
      </c>
      <c r="AS163" s="177">
        <v>10.924673663602992</v>
      </c>
      <c r="AT163" s="177">
        <v>10.914737146350301</v>
      </c>
      <c r="AU163" s="177">
        <v>10.895711157095631</v>
      </c>
      <c r="AV163" s="177">
        <v>10.921181113181868</v>
      </c>
      <c r="AW163" s="1112">
        <v>10.948611962250579</v>
      </c>
      <c r="AX163" s="177">
        <v>10.909184894194384</v>
      </c>
      <c r="AY163" s="177">
        <v>10.932162628894147</v>
      </c>
      <c r="AZ163" s="177">
        <v>10.91221030968261</v>
      </c>
      <c r="BA163" s="177">
        <v>10.895289267410297</v>
      </c>
      <c r="BB163" s="177">
        <v>10.852520437595871</v>
      </c>
      <c r="BC163" s="177">
        <v>10.837910309765871</v>
      </c>
      <c r="BD163" s="177">
        <v>10.818788470946815</v>
      </c>
      <c r="BE163" s="177">
        <v>10.797311213168573</v>
      </c>
      <c r="BF163" s="177">
        <v>10.771123921562067</v>
      </c>
      <c r="BG163" s="177">
        <v>10.759296341155808</v>
      </c>
      <c r="BH163" s="177">
        <v>10.745044674245561</v>
      </c>
      <c r="BI163" s="177">
        <v>10.722344748391508</v>
      </c>
      <c r="BJ163" s="177">
        <v>10.741438175881205</v>
      </c>
      <c r="BK163" s="177">
        <v>10.762436453271915</v>
      </c>
      <c r="BL163" s="177">
        <v>10.720249408336365</v>
      </c>
      <c r="BM163" s="177">
        <v>10.736682705632271</v>
      </c>
      <c r="BN163" s="177">
        <v>10.712738161011801</v>
      </c>
      <c r="BO163" s="177">
        <v>10.691642259023503</v>
      </c>
      <c r="BP163" s="177">
        <v>10.646195584004918</v>
      </c>
      <c r="BQ163" s="177">
        <v>10.626989050554196</v>
      </c>
      <c r="BR163" s="177">
        <v>10.60361477203878</v>
      </c>
      <c r="BS163" s="177">
        <v>10.577972849700412</v>
      </c>
      <c r="BT163" s="177">
        <v>10.547955382502519</v>
      </c>
      <c r="BU163" s="177">
        <v>10.5314158033773</v>
      </c>
      <c r="BV163" s="177">
        <v>10.512492255205267</v>
      </c>
    </row>
    <row r="164" spans="1:74" s="68" customFormat="1" ht="18" customHeight="1" x14ac:dyDescent="0.4">
      <c r="A164" s="859"/>
      <c r="B164" s="842"/>
      <c r="C164" s="1108" t="s">
        <v>269</v>
      </c>
      <c r="D164" s="890" t="s">
        <v>44</v>
      </c>
      <c r="E164" s="11" t="s">
        <v>20</v>
      </c>
      <c r="F164" s="10" t="str">
        <f>$F$133</f>
        <v>Losun vegna iðragerjunar og meðhöndlunar húsdýraáburðar</v>
      </c>
      <c r="G164" s="10" t="s">
        <v>127</v>
      </c>
      <c r="H164" s="64"/>
      <c r="I164" s="12"/>
      <c r="J164" s="12"/>
      <c r="K164" s="12"/>
      <c r="L164" s="12"/>
      <c r="M164" s="12"/>
      <c r="N164" s="12"/>
      <c r="O164" s="12"/>
      <c r="P164" s="12"/>
      <c r="Q164" s="12"/>
      <c r="R164" s="12"/>
      <c r="S164" s="12"/>
      <c r="T164" s="12"/>
      <c r="U164" s="12"/>
      <c r="V164" s="12"/>
      <c r="W164" s="12"/>
      <c r="X164" s="791"/>
      <c r="Y164" s="12"/>
      <c r="Z164" s="12"/>
      <c r="AA164" s="12"/>
      <c r="AB164" s="12"/>
      <c r="AC164" s="12"/>
      <c r="AD164" s="12"/>
      <c r="AE164" s="12"/>
      <c r="AF164" s="12"/>
      <c r="AG164" s="12"/>
      <c r="AH164" s="12"/>
      <c r="AI164" s="12"/>
      <c r="AJ164" s="12"/>
      <c r="AK164" s="12"/>
      <c r="AL164" s="12"/>
      <c r="AM164" s="12"/>
      <c r="AN164" s="12"/>
      <c r="AO164" s="12"/>
      <c r="AP164" s="12"/>
      <c r="AQ164" s="12"/>
      <c r="AR164" s="168">
        <f>AR133</f>
        <v>183.73286362498627</v>
      </c>
      <c r="AS164" s="11">
        <f>SUM(AS165:AS168)</f>
        <v>183.23472798932056</v>
      </c>
      <c r="AT164" s="11">
        <f t="shared" ref="AT164:BA164" si="57">SUM(AT165:AT168)</f>
        <v>182.54345717157048</v>
      </c>
      <c r="AU164" s="11">
        <f t="shared" si="57"/>
        <v>182.18584217402037</v>
      </c>
      <c r="AV164" s="11">
        <f t="shared" si="57"/>
        <v>182.4038770344458</v>
      </c>
      <c r="AW164" s="704">
        <f t="shared" si="57"/>
        <v>183.10455925827571</v>
      </c>
      <c r="AX164" s="11">
        <f t="shared" si="57"/>
        <v>181.9105625632784</v>
      </c>
      <c r="AY164" s="11">
        <f t="shared" si="57"/>
        <v>181.75447289261493</v>
      </c>
      <c r="AZ164" s="11">
        <f t="shared" si="57"/>
        <v>180.93215033171319</v>
      </c>
      <c r="BA164" s="11">
        <f t="shared" si="57"/>
        <v>180.28379367705131</v>
      </c>
      <c r="BB164" s="704">
        <f t="shared" ref="BB164:BO164" si="58">SUM(BB165:BB168)</f>
        <v>178.98036171764369</v>
      </c>
      <c r="BC164" s="11">
        <f t="shared" si="58"/>
        <v>177.685128645904</v>
      </c>
      <c r="BD164" s="11">
        <f t="shared" si="58"/>
        <v>176.63576868194696</v>
      </c>
      <c r="BE164" s="11">
        <f t="shared" si="58"/>
        <v>175.46491614354019</v>
      </c>
      <c r="BF164" s="11">
        <f t="shared" si="58"/>
        <v>174.42726431049724</v>
      </c>
      <c r="BG164" s="11">
        <f t="shared" si="58"/>
        <v>173.89544940711602</v>
      </c>
      <c r="BH164" s="11">
        <f t="shared" si="58"/>
        <v>173.09315571578355</v>
      </c>
      <c r="BI164" s="11">
        <f t="shared" si="58"/>
        <v>172.59646762716739</v>
      </c>
      <c r="BJ164" s="11">
        <f t="shared" si="58"/>
        <v>172.62761117389419</v>
      </c>
      <c r="BK164" s="11">
        <f t="shared" si="58"/>
        <v>173.09989974683208</v>
      </c>
      <c r="BL164" s="11">
        <f t="shared" si="58"/>
        <v>171.83253166086195</v>
      </c>
      <c r="BM164" s="11">
        <f t="shared" si="58"/>
        <v>171.51663469235282</v>
      </c>
      <c r="BN164" s="11">
        <f t="shared" si="58"/>
        <v>170.58893461541953</v>
      </c>
      <c r="BO164" s="11">
        <f t="shared" si="58"/>
        <v>169.81989718102727</v>
      </c>
      <c r="BP164" s="11">
        <f t="shared" ref="BP164:BU164" si="59">SUM(BP165:BP168)</f>
        <v>168.45063544635457</v>
      </c>
      <c r="BQ164" s="11">
        <f t="shared" si="59"/>
        <v>167.08911784735579</v>
      </c>
      <c r="BR164" s="11">
        <f t="shared" si="59"/>
        <v>165.95206256921099</v>
      </c>
      <c r="BS164" s="11">
        <f t="shared" si="59"/>
        <v>164.70368529439509</v>
      </c>
      <c r="BT164" s="11">
        <f t="shared" si="59"/>
        <v>163.57654938613359</v>
      </c>
      <c r="BU164" s="11">
        <f t="shared" si="59"/>
        <v>162.9104671614347</v>
      </c>
      <c r="BV164" s="11">
        <f t="shared" ref="BV164" si="60">SUM(BV165:BV168)</f>
        <v>161.99688395788274</v>
      </c>
    </row>
    <row r="165" spans="1:74" s="85" customFormat="1" ht="18" customHeight="1" x14ac:dyDescent="0.4">
      <c r="A165" s="860"/>
      <c r="B165" s="833" t="s">
        <v>62</v>
      </c>
      <c r="C165" s="1108" t="s">
        <v>44</v>
      </c>
      <c r="D165" s="883"/>
      <c r="E165" s="31" t="s">
        <v>105</v>
      </c>
      <c r="F165" s="39"/>
      <c r="G165" s="46" t="s">
        <v>201</v>
      </c>
      <c r="H165" s="1017"/>
      <c r="I165" s="173"/>
      <c r="J165" s="173"/>
      <c r="K165" s="173"/>
      <c r="L165" s="173"/>
      <c r="M165" s="173"/>
      <c r="N165" s="173"/>
      <c r="O165" s="173"/>
      <c r="P165" s="173"/>
      <c r="Q165" s="173"/>
      <c r="R165" s="173"/>
      <c r="S165" s="173"/>
      <c r="T165" s="173"/>
      <c r="U165" s="173"/>
      <c r="V165" s="173"/>
      <c r="W165" s="173"/>
      <c r="X165" s="791"/>
      <c r="Y165" s="173"/>
      <c r="Z165" s="173"/>
      <c r="AA165" s="173"/>
      <c r="AB165" s="173"/>
      <c r="AC165" s="173"/>
      <c r="AD165" s="173"/>
      <c r="AE165" s="173"/>
      <c r="AF165" s="173"/>
      <c r="AG165" s="173"/>
      <c r="AH165" s="173"/>
      <c r="AI165" s="173"/>
      <c r="AJ165" s="173"/>
      <c r="AK165" s="173"/>
      <c r="AL165" s="173"/>
      <c r="AM165" s="173"/>
      <c r="AN165" s="173"/>
      <c r="AO165" s="173"/>
      <c r="AP165" s="173"/>
      <c r="AQ165" s="173"/>
      <c r="AR165" s="168">
        <f>AR134</f>
        <v>137.0445285876645</v>
      </c>
      <c r="AS165" s="1114">
        <v>136.5515512211654</v>
      </c>
      <c r="AT165" s="1114">
        <v>136.00005994530642</v>
      </c>
      <c r="AU165" s="1114">
        <v>135.69822517718617</v>
      </c>
      <c r="AV165" s="1114">
        <v>135.79784924879158</v>
      </c>
      <c r="AW165" s="1092">
        <v>136.25125310543746</v>
      </c>
      <c r="AX165" s="1114">
        <v>135.34450957446376</v>
      </c>
      <c r="AY165" s="1114">
        <v>135.17028116279963</v>
      </c>
      <c r="AZ165" s="1114">
        <v>134.52722233780111</v>
      </c>
      <c r="BA165" s="1114">
        <v>134.01053999356395</v>
      </c>
      <c r="BB165" s="1092">
        <v>133.02493214270623</v>
      </c>
      <c r="BC165" s="1114">
        <v>132.03164403227697</v>
      </c>
      <c r="BD165" s="1114">
        <v>131.22125486685587</v>
      </c>
      <c r="BE165" s="1114">
        <v>130.32270379461528</v>
      </c>
      <c r="BF165" s="1114">
        <v>129.52433191671227</v>
      </c>
      <c r="BG165" s="1114">
        <v>129.09073812037195</v>
      </c>
      <c r="BH165" s="1114">
        <v>128.45951209136348</v>
      </c>
      <c r="BI165" s="1114">
        <v>128.05698711517792</v>
      </c>
      <c r="BJ165" s="1114">
        <v>128.02204656441114</v>
      </c>
      <c r="BK165" s="1114">
        <v>128.31037231362095</v>
      </c>
      <c r="BL165" s="1114">
        <v>127.35085415663795</v>
      </c>
      <c r="BM165" s="1114">
        <v>127.06208376778149</v>
      </c>
      <c r="BN165" s="1114">
        <v>126.34329866879509</v>
      </c>
      <c r="BO165" s="1114">
        <v>125.73971857905831</v>
      </c>
      <c r="BP165" s="1114">
        <v>124.70685044161674</v>
      </c>
      <c r="BQ165" s="1114">
        <v>123.666902266481</v>
      </c>
      <c r="BR165" s="1114">
        <v>122.79393042751595</v>
      </c>
      <c r="BS165" s="1114">
        <v>121.84023914879654</v>
      </c>
      <c r="BT165" s="1114">
        <v>120.97776475551969</v>
      </c>
      <c r="BU165" s="1114">
        <v>120.44754583784189</v>
      </c>
      <c r="BV165" s="1114">
        <v>119.73658505568393</v>
      </c>
    </row>
    <row r="166" spans="1:74" s="85" customFormat="1" ht="18" customHeight="1" x14ac:dyDescent="0.4">
      <c r="A166" s="860"/>
      <c r="B166" s="833" t="s">
        <v>426</v>
      </c>
      <c r="C166" s="1108" t="s">
        <v>44</v>
      </c>
      <c r="D166" s="883"/>
      <c r="E166" s="31" t="s">
        <v>106</v>
      </c>
      <c r="F166" s="39"/>
      <c r="G166" s="46" t="s">
        <v>202</v>
      </c>
      <c r="H166" s="1017"/>
      <c r="I166" s="173"/>
      <c r="J166" s="173"/>
      <c r="K166" s="173"/>
      <c r="L166" s="173"/>
      <c r="M166" s="173"/>
      <c r="N166" s="173"/>
      <c r="O166" s="173"/>
      <c r="P166" s="173"/>
      <c r="Q166" s="173"/>
      <c r="R166" s="173"/>
      <c r="S166" s="173"/>
      <c r="T166" s="173"/>
      <c r="U166" s="173"/>
      <c r="V166" s="173"/>
      <c r="W166" s="173"/>
      <c r="X166" s="791"/>
      <c r="Y166" s="173"/>
      <c r="Z166" s="173"/>
      <c r="AA166" s="173"/>
      <c r="AB166" s="173"/>
      <c r="AC166" s="173"/>
      <c r="AD166" s="173"/>
      <c r="AE166" s="173"/>
      <c r="AF166" s="173"/>
      <c r="AG166" s="173"/>
      <c r="AH166" s="173"/>
      <c r="AI166" s="173"/>
      <c r="AJ166" s="173"/>
      <c r="AK166" s="173"/>
      <c r="AL166" s="173"/>
      <c r="AM166" s="173"/>
      <c r="AN166" s="173"/>
      <c r="AO166" s="173"/>
      <c r="AP166" s="173"/>
      <c r="AQ166" s="173"/>
      <c r="AR166" s="168">
        <f>AR135</f>
        <v>41.718607003371631</v>
      </c>
      <c r="AS166" s="1114">
        <v>41.622285785468172</v>
      </c>
      <c r="AT166" s="1114">
        <v>41.495644548094525</v>
      </c>
      <c r="AU166" s="1114">
        <v>41.457875068416158</v>
      </c>
      <c r="AV166" s="1114">
        <v>41.563015353245305</v>
      </c>
      <c r="AW166" s="1092">
        <v>41.794092797167082</v>
      </c>
      <c r="AX166" s="1114">
        <v>41.540990236500839</v>
      </c>
      <c r="AY166" s="1114">
        <v>41.54864557388035</v>
      </c>
      <c r="AZ166" s="1114">
        <v>41.389408474641989</v>
      </c>
      <c r="BA166" s="1114">
        <v>41.275158386070146</v>
      </c>
      <c r="BB166" s="1092">
        <v>40.993982009940325</v>
      </c>
      <c r="BC166" s="1114">
        <v>40.710071644723435</v>
      </c>
      <c r="BD166" s="1114">
        <v>40.491268938308274</v>
      </c>
      <c r="BE166" s="1114">
        <v>40.241082697404934</v>
      </c>
      <c r="BF166" s="1114">
        <v>40.026557858505157</v>
      </c>
      <c r="BG166" s="1114">
        <v>39.941885309741181</v>
      </c>
      <c r="BH166" s="1114">
        <v>39.786860403437871</v>
      </c>
      <c r="BI166" s="1114">
        <v>39.713247613066265</v>
      </c>
      <c r="BJ166" s="1114">
        <v>39.770486104258502</v>
      </c>
      <c r="BK166" s="1114">
        <v>39.942799682188024</v>
      </c>
      <c r="BL166" s="1114">
        <v>39.670910614341835</v>
      </c>
      <c r="BM166" s="1114">
        <v>39.637791741847252</v>
      </c>
      <c r="BN166" s="1114">
        <v>39.451597896582221</v>
      </c>
      <c r="BO166" s="1114">
        <v>39.306414284777773</v>
      </c>
      <c r="BP166" s="1114">
        <v>39.0084143746815</v>
      </c>
      <c r="BQ166" s="1114">
        <v>38.707894140159794</v>
      </c>
      <c r="BR166" s="1114">
        <v>38.466813495750948</v>
      </c>
      <c r="BS166" s="1114">
        <v>38.196998657484642</v>
      </c>
      <c r="BT166" s="1114">
        <v>37.9596548531769</v>
      </c>
      <c r="BU166" s="1114">
        <v>37.840586067565113</v>
      </c>
      <c r="BV166" s="1114">
        <v>37.657177492332139</v>
      </c>
    </row>
    <row r="167" spans="1:74" s="85" customFormat="1" ht="18" customHeight="1" x14ac:dyDescent="0.4">
      <c r="A167" s="860"/>
      <c r="B167" s="833" t="s">
        <v>425</v>
      </c>
      <c r="C167" s="1108" t="s">
        <v>44</v>
      </c>
      <c r="D167" s="883"/>
      <c r="E167" s="31" t="s">
        <v>107</v>
      </c>
      <c r="F167" s="39"/>
      <c r="G167" s="46" t="s">
        <v>203</v>
      </c>
      <c r="H167" s="1017"/>
      <c r="I167" s="173"/>
      <c r="J167" s="173"/>
      <c r="K167" s="173"/>
      <c r="L167" s="173"/>
      <c r="M167" s="173"/>
      <c r="N167" s="173"/>
      <c r="O167" s="173"/>
      <c r="P167" s="173"/>
      <c r="Q167" s="173"/>
      <c r="R167" s="173"/>
      <c r="S167" s="173"/>
      <c r="T167" s="173"/>
      <c r="U167" s="173"/>
      <c r="V167" s="173"/>
      <c r="W167" s="173"/>
      <c r="X167" s="791"/>
      <c r="Y167" s="173"/>
      <c r="Z167" s="173"/>
      <c r="AA167" s="173"/>
      <c r="AB167" s="173"/>
      <c r="AC167" s="173"/>
      <c r="AD167" s="173"/>
      <c r="AE167" s="173"/>
      <c r="AF167" s="173"/>
      <c r="AG167" s="173"/>
      <c r="AH167" s="173"/>
      <c r="AI167" s="173"/>
      <c r="AJ167" s="173"/>
      <c r="AK167" s="173"/>
      <c r="AL167" s="173"/>
      <c r="AM167" s="173"/>
      <c r="AN167" s="173"/>
      <c r="AO167" s="173"/>
      <c r="AP167" s="173"/>
      <c r="AQ167" s="173"/>
      <c r="AR167" s="168">
        <f>AR136</f>
        <v>1.0735532796183889</v>
      </c>
      <c r="AS167" s="1051">
        <v>1.074234280937113</v>
      </c>
      <c r="AT167" s="1051">
        <v>1.0697113529195503</v>
      </c>
      <c r="AU167" s="1051">
        <v>1.0663090327513478</v>
      </c>
      <c r="AV167" s="1051">
        <v>1.0647187063054653</v>
      </c>
      <c r="AW167" s="1053">
        <v>1.0647386668217802</v>
      </c>
      <c r="AX167" s="1051">
        <v>1.0586303945343531</v>
      </c>
      <c r="AY167" s="1051">
        <v>1.0558347508254411</v>
      </c>
      <c r="AZ167" s="1051">
        <v>1.050917030382492</v>
      </c>
      <c r="BA167" s="1051">
        <v>1.0465729387536802</v>
      </c>
      <c r="BB167" s="1053">
        <v>1.0400883283871334</v>
      </c>
      <c r="BC167" s="1051">
        <v>1.0335589111799763</v>
      </c>
      <c r="BD167" s="1051">
        <v>1.0278589123502782</v>
      </c>
      <c r="BE167" s="1051">
        <v>1.0217476387341107</v>
      </c>
      <c r="BF167" s="1051">
        <v>1.0160905468204973</v>
      </c>
      <c r="BG167" s="1051">
        <v>1.0121139053236603</v>
      </c>
      <c r="BH167" s="1051">
        <v>1.0072242482071958</v>
      </c>
      <c r="BI167" s="1051">
        <v>1.0033949019584865</v>
      </c>
      <c r="BJ167" s="1051">
        <v>1.0012800017600538</v>
      </c>
      <c r="BK167" s="1051">
        <v>1.0006849876802608</v>
      </c>
      <c r="BL167" s="1051">
        <v>0.99427202226491196</v>
      </c>
      <c r="BM167" s="1051">
        <v>0.99099473777011204</v>
      </c>
      <c r="BN167" s="1051">
        <v>0.98570240434711975</v>
      </c>
      <c r="BO167" s="1051">
        <v>0.98094903018035517</v>
      </c>
      <c r="BP167" s="1051">
        <v>0.97416750559561893</v>
      </c>
      <c r="BQ167" s="1051">
        <v>0.96734177256339771</v>
      </c>
      <c r="BR167" s="1051">
        <v>0.96129730481098197</v>
      </c>
      <c r="BS167" s="1051">
        <v>0.95486186393491335</v>
      </c>
      <c r="BT167" s="1051">
        <v>0.94885223090876814</v>
      </c>
      <c r="BU167" s="1051">
        <v>0.9444229358685986</v>
      </c>
      <c r="BV167" s="1051">
        <v>0.93912864944494256</v>
      </c>
    </row>
    <row r="168" spans="1:74" s="85" customFormat="1" ht="18" customHeight="1" x14ac:dyDescent="0.4">
      <c r="A168" s="860"/>
      <c r="B168" s="833" t="s">
        <v>408</v>
      </c>
      <c r="C168" s="1108" t="s">
        <v>44</v>
      </c>
      <c r="D168" s="883"/>
      <c r="E168" s="31" t="s">
        <v>409</v>
      </c>
      <c r="F168" s="46"/>
      <c r="G168" s="46" t="s">
        <v>410</v>
      </c>
      <c r="H168" s="1017"/>
      <c r="I168" s="173"/>
      <c r="J168" s="173"/>
      <c r="K168" s="173"/>
      <c r="L168" s="173"/>
      <c r="M168" s="173"/>
      <c r="N168" s="173"/>
      <c r="O168" s="173"/>
      <c r="P168" s="173"/>
      <c r="Q168" s="173"/>
      <c r="R168" s="173"/>
      <c r="S168" s="173"/>
      <c r="T168" s="173"/>
      <c r="U168" s="173"/>
      <c r="V168" s="173"/>
      <c r="W168" s="173"/>
      <c r="X168" s="791"/>
      <c r="Y168" s="173"/>
      <c r="Z168" s="173"/>
      <c r="AA168" s="173"/>
      <c r="AB168" s="173"/>
      <c r="AC168" s="173"/>
      <c r="AD168" s="173"/>
      <c r="AE168" s="173"/>
      <c r="AF168" s="173"/>
      <c r="AG168" s="173"/>
      <c r="AH168" s="173"/>
      <c r="AI168" s="173"/>
      <c r="AJ168" s="173"/>
      <c r="AK168" s="173"/>
      <c r="AL168" s="173"/>
      <c r="AM168" s="173"/>
      <c r="AN168" s="173"/>
      <c r="AO168" s="173"/>
      <c r="AP168" s="173"/>
      <c r="AQ168" s="173"/>
      <c r="AR168" s="168"/>
      <c r="AS168" s="1098">
        <v>3.9866567017499071</v>
      </c>
      <c r="AT168" s="1051">
        <v>3.9780413252499769</v>
      </c>
      <c r="AU168" s="1051">
        <v>3.9634328956666969</v>
      </c>
      <c r="AV168" s="1051">
        <v>3.9782937261034461</v>
      </c>
      <c r="AW168" s="1053">
        <v>3.9944746888494089</v>
      </c>
      <c r="AX168" s="1051">
        <v>3.9664323577794502</v>
      </c>
      <c r="AY168" s="1051">
        <v>3.9797114051095064</v>
      </c>
      <c r="AZ168" s="1051">
        <v>3.9646024888875933</v>
      </c>
      <c r="BA168" s="1051">
        <v>3.9515223586635368</v>
      </c>
      <c r="BB168" s="1053">
        <v>3.9213592366099879</v>
      </c>
      <c r="BC168" s="1051">
        <v>3.9098540577236447</v>
      </c>
      <c r="BD168" s="1051">
        <v>3.8953859644325326</v>
      </c>
      <c r="BE168" s="1051">
        <v>3.8793820127859076</v>
      </c>
      <c r="BF168" s="1051">
        <v>3.8602839884593085</v>
      </c>
      <c r="BG168" s="1051">
        <v>3.8507120716792369</v>
      </c>
      <c r="BH168" s="1051">
        <v>3.8395589727750119</v>
      </c>
      <c r="BI168" s="1051">
        <v>3.8228379969647355</v>
      </c>
      <c r="BJ168" s="1051">
        <v>3.8337985034644797</v>
      </c>
      <c r="BK168" s="1051">
        <v>3.8460427633428496</v>
      </c>
      <c r="BL168" s="1051">
        <v>3.816494867617263</v>
      </c>
      <c r="BM168" s="1051">
        <v>3.8257644449539789</v>
      </c>
      <c r="BN168" s="1051">
        <v>3.8083356456951223</v>
      </c>
      <c r="BO168" s="1051">
        <v>3.7928152870108294</v>
      </c>
      <c r="BP168" s="1051">
        <v>3.761203124460712</v>
      </c>
      <c r="BQ168" s="1051">
        <v>3.7469796681515932</v>
      </c>
      <c r="BR168" s="1051">
        <v>3.7300213411331344</v>
      </c>
      <c r="BS168" s="1051">
        <v>3.7115856241789937</v>
      </c>
      <c r="BT168" s="1051">
        <v>3.6902775465282467</v>
      </c>
      <c r="BU168" s="1051">
        <v>3.6779123201591042</v>
      </c>
      <c r="BV168" s="1051">
        <v>3.6639927604217331</v>
      </c>
    </row>
    <row r="169" spans="1:74" s="68" customFormat="1" ht="18" customHeight="1" x14ac:dyDescent="0.4">
      <c r="A169" s="859"/>
      <c r="B169" s="842"/>
      <c r="C169" s="1108" t="s">
        <v>270</v>
      </c>
      <c r="D169" s="890" t="s">
        <v>44</v>
      </c>
      <c r="E169" s="11" t="s">
        <v>21</v>
      </c>
      <c r="F169" s="10" t="str">
        <f>$F$138</f>
        <v>Losun vegna iðragerjunar og meðhöndlunar húsdýraáburðar</v>
      </c>
      <c r="G169" s="10" t="s">
        <v>128</v>
      </c>
      <c r="H169" s="64"/>
      <c r="I169" s="12"/>
      <c r="J169" s="12"/>
      <c r="K169" s="12"/>
      <c r="L169" s="12"/>
      <c r="M169" s="12"/>
      <c r="N169" s="12"/>
      <c r="O169" s="12"/>
      <c r="P169" s="12"/>
      <c r="Q169" s="12"/>
      <c r="R169" s="12"/>
      <c r="S169" s="12"/>
      <c r="T169" s="12"/>
      <c r="U169" s="12"/>
      <c r="V169" s="12"/>
      <c r="W169" s="12"/>
      <c r="X169" s="791"/>
      <c r="Y169" s="12"/>
      <c r="Z169" s="12"/>
      <c r="AA169" s="12"/>
      <c r="AB169" s="12"/>
      <c r="AC169" s="12"/>
      <c r="AD169" s="12"/>
      <c r="AE169" s="12"/>
      <c r="AF169" s="12"/>
      <c r="AG169" s="12"/>
      <c r="AH169" s="12"/>
      <c r="AI169" s="12"/>
      <c r="AJ169" s="12"/>
      <c r="AK169" s="12"/>
      <c r="AL169" s="12"/>
      <c r="AM169" s="12"/>
      <c r="AN169" s="12"/>
      <c r="AO169" s="12"/>
      <c r="AP169" s="12"/>
      <c r="AQ169" s="12"/>
      <c r="AR169" s="168">
        <f>AR138</f>
        <v>132.03335646721749</v>
      </c>
      <c r="AS169" s="11">
        <f>SUM(AS170:AS173)</f>
        <v>132.05273400172456</v>
      </c>
      <c r="AT169" s="11">
        <f t="shared" ref="AT169:BA169" si="61">SUM(AT170:AT173)</f>
        <v>130.7462012066764</v>
      </c>
      <c r="AU169" s="11">
        <f t="shared" si="61"/>
        <v>129.43954054409571</v>
      </c>
      <c r="AV169" s="11">
        <f t="shared" si="61"/>
        <v>128.13275201398261</v>
      </c>
      <c r="AW169" s="704">
        <f t="shared" si="61"/>
        <v>126.82583561633696</v>
      </c>
      <c r="AX169" s="11">
        <f t="shared" si="61"/>
        <v>125.51879135115887</v>
      </c>
      <c r="AY169" s="11">
        <f t="shared" si="61"/>
        <v>124.21161921844826</v>
      </c>
      <c r="AZ169" s="11">
        <f t="shared" si="61"/>
        <v>122.90431921820515</v>
      </c>
      <c r="BA169" s="11">
        <f t="shared" si="61"/>
        <v>121.59689135042962</v>
      </c>
      <c r="BB169" s="704">
        <f t="shared" ref="BB169:BO169" si="62">SUM(BB170:BB173)</f>
        <v>120.28933561512156</v>
      </c>
      <c r="BC169" s="11">
        <f t="shared" si="62"/>
        <v>118.98165201228099</v>
      </c>
      <c r="BD169" s="11">
        <f t="shared" si="62"/>
        <v>117.67384054190795</v>
      </c>
      <c r="BE169" s="11">
        <f t="shared" si="62"/>
        <v>116.36590120400245</v>
      </c>
      <c r="BF169" s="11">
        <f t="shared" si="62"/>
        <v>115.05783399856445</v>
      </c>
      <c r="BG169" s="11">
        <f t="shared" si="62"/>
        <v>113.74963892559396</v>
      </c>
      <c r="BH169" s="11">
        <f t="shared" si="62"/>
        <v>112.44131598509098</v>
      </c>
      <c r="BI169" s="11">
        <f t="shared" si="62"/>
        <v>111.13286517705552</v>
      </c>
      <c r="BJ169" s="11">
        <f t="shared" si="62"/>
        <v>109.82428650148758</v>
      </c>
      <c r="BK169" s="11">
        <f t="shared" si="62"/>
        <v>108.51557995838714</v>
      </c>
      <c r="BL169" s="11">
        <f t="shared" si="62"/>
        <v>107.20674554775421</v>
      </c>
      <c r="BM169" s="11">
        <f t="shared" si="62"/>
        <v>105.89778326958881</v>
      </c>
      <c r="BN169" s="11">
        <f t="shared" si="62"/>
        <v>104.58869312389091</v>
      </c>
      <c r="BO169" s="11">
        <f t="shared" si="62"/>
        <v>103.27947511066053</v>
      </c>
      <c r="BP169" s="11">
        <f t="shared" ref="BP169:BU169" si="63">SUM(BP170:BP173)</f>
        <v>101.97012922989765</v>
      </c>
      <c r="BQ169" s="11">
        <f t="shared" si="63"/>
        <v>100.6606554816023</v>
      </c>
      <c r="BR169" s="11">
        <f t="shared" si="63"/>
        <v>99.35105386577446</v>
      </c>
      <c r="BS169" s="11">
        <f t="shared" si="63"/>
        <v>98.041324382414103</v>
      </c>
      <c r="BT169" s="11">
        <f t="shared" si="63"/>
        <v>96.731467031521348</v>
      </c>
      <c r="BU169" s="11">
        <f t="shared" si="63"/>
        <v>95.421481813096051</v>
      </c>
      <c r="BV169" s="11">
        <f t="shared" ref="BV169" si="64">SUM(BV170:BV173)</f>
        <v>94.111368727138228</v>
      </c>
    </row>
    <row r="170" spans="1:74" s="85" customFormat="1" ht="18" customHeight="1" x14ac:dyDescent="0.4">
      <c r="A170" s="860"/>
      <c r="B170" s="833" t="s">
        <v>63</v>
      </c>
      <c r="C170" s="1108" t="s">
        <v>44</v>
      </c>
      <c r="D170" s="883"/>
      <c r="E170" s="31" t="s">
        <v>105</v>
      </c>
      <c r="F170" s="39"/>
      <c r="G170" s="46" t="s">
        <v>201</v>
      </c>
      <c r="H170" s="1017"/>
      <c r="I170" s="173"/>
      <c r="J170" s="173"/>
      <c r="K170" s="173"/>
      <c r="L170" s="173"/>
      <c r="M170" s="173"/>
      <c r="N170" s="173"/>
      <c r="O170" s="173"/>
      <c r="P170" s="173"/>
      <c r="Q170" s="173"/>
      <c r="R170" s="173"/>
      <c r="S170" s="173"/>
      <c r="T170" s="173"/>
      <c r="U170" s="173"/>
      <c r="V170" s="173"/>
      <c r="W170" s="173"/>
      <c r="X170" s="791"/>
      <c r="Y170" s="173"/>
      <c r="Z170" s="173"/>
      <c r="AA170" s="173"/>
      <c r="AB170" s="173"/>
      <c r="AC170" s="173"/>
      <c r="AD170" s="173"/>
      <c r="AE170" s="173"/>
      <c r="AF170" s="173"/>
      <c r="AG170" s="173"/>
      <c r="AH170" s="173"/>
      <c r="AI170" s="173"/>
      <c r="AJ170" s="173"/>
      <c r="AK170" s="173"/>
      <c r="AL170" s="173"/>
      <c r="AM170" s="173"/>
      <c r="AN170" s="173"/>
      <c r="AO170" s="173"/>
      <c r="AP170" s="173"/>
      <c r="AQ170" s="173"/>
      <c r="AR170" s="168">
        <f>AR139</f>
        <v>114.63598042550572</v>
      </c>
      <c r="AS170" s="1114">
        <v>114.63598042550572</v>
      </c>
      <c r="AT170" s="1114">
        <v>113.49429101170882</v>
      </c>
      <c r="AU170" s="1114">
        <v>112.3526015979119</v>
      </c>
      <c r="AV170" s="1114">
        <v>111.21091218411505</v>
      </c>
      <c r="AW170" s="1092">
        <v>110.06922277031811</v>
      </c>
      <c r="AX170" s="1114">
        <v>108.92753335652122</v>
      </c>
      <c r="AY170" s="1114">
        <v>107.78584394272433</v>
      </c>
      <c r="AZ170" s="1114">
        <v>106.6441545289274</v>
      </c>
      <c r="BA170" s="1114">
        <v>105.50246511513053</v>
      </c>
      <c r="BB170" s="1092">
        <v>104.36077570133364</v>
      </c>
      <c r="BC170" s="1114">
        <v>103.21908628753671</v>
      </c>
      <c r="BD170" s="1114">
        <v>102.0773968737398</v>
      </c>
      <c r="BE170" s="1114">
        <v>100.93570745994292</v>
      </c>
      <c r="BF170" s="1114">
        <v>99.794018046146022</v>
      </c>
      <c r="BG170" s="1114">
        <v>98.652328632349125</v>
      </c>
      <c r="BH170" s="1114">
        <v>97.510639218552214</v>
      </c>
      <c r="BI170" s="1114">
        <v>96.368949804755317</v>
      </c>
      <c r="BJ170" s="1114">
        <v>95.227260390958435</v>
      </c>
      <c r="BK170" s="1114">
        <v>94.085570977161524</v>
      </c>
      <c r="BL170" s="1114">
        <v>92.943881563364613</v>
      </c>
      <c r="BM170" s="1114">
        <v>91.802192149567716</v>
      </c>
      <c r="BN170" s="1114">
        <v>90.66050273577082</v>
      </c>
      <c r="BO170" s="1114">
        <v>89.518813321973923</v>
      </c>
      <c r="BP170" s="1114">
        <v>88.377123908177012</v>
      </c>
      <c r="BQ170" s="1114">
        <v>87.235434494380101</v>
      </c>
      <c r="BR170" s="1114">
        <v>86.093745080583219</v>
      </c>
      <c r="BS170" s="1114">
        <v>84.952055666786293</v>
      </c>
      <c r="BT170" s="1114">
        <v>83.810366252989425</v>
      </c>
      <c r="BU170" s="1114">
        <v>82.668676839192528</v>
      </c>
      <c r="BV170" s="1114">
        <v>81.526987425395603</v>
      </c>
    </row>
    <row r="171" spans="1:74" s="85" customFormat="1" ht="18" customHeight="1" x14ac:dyDescent="0.4">
      <c r="A171" s="860"/>
      <c r="B171" s="833" t="s">
        <v>428</v>
      </c>
      <c r="C171" s="1108" t="s">
        <v>44</v>
      </c>
      <c r="D171" s="883"/>
      <c r="E171" s="31" t="s">
        <v>106</v>
      </c>
      <c r="F171" s="39"/>
      <c r="G171" s="46" t="s">
        <v>202</v>
      </c>
      <c r="H171" s="1017"/>
      <c r="I171" s="173"/>
      <c r="J171" s="173"/>
      <c r="K171" s="173"/>
      <c r="L171" s="173"/>
      <c r="M171" s="173"/>
      <c r="N171" s="173"/>
      <c r="O171" s="173"/>
      <c r="P171" s="173"/>
      <c r="Q171" s="173"/>
      <c r="R171" s="173"/>
      <c r="S171" s="173"/>
      <c r="T171" s="173"/>
      <c r="U171" s="173"/>
      <c r="V171" s="173"/>
      <c r="W171" s="173"/>
      <c r="X171" s="791"/>
      <c r="Y171" s="173"/>
      <c r="Z171" s="173"/>
      <c r="AA171" s="173"/>
      <c r="AB171" s="173"/>
      <c r="AC171" s="173"/>
      <c r="AD171" s="173"/>
      <c r="AE171" s="173"/>
      <c r="AF171" s="173"/>
      <c r="AG171" s="173"/>
      <c r="AH171" s="173"/>
      <c r="AI171" s="173"/>
      <c r="AJ171" s="173"/>
      <c r="AK171" s="173"/>
      <c r="AL171" s="173"/>
      <c r="AM171" s="173"/>
      <c r="AN171" s="173"/>
      <c r="AO171" s="173"/>
      <c r="AP171" s="173"/>
      <c r="AQ171" s="173"/>
      <c r="AR171" s="168">
        <f>AR140</f>
        <v>8.6996628957663642</v>
      </c>
      <c r="AS171" s="1114">
        <v>8.6996628957663642</v>
      </c>
      <c r="AT171" s="1114">
        <v>8.6140116803132063</v>
      </c>
      <c r="AU171" s="1114">
        <v>8.5283604648600484</v>
      </c>
      <c r="AV171" s="1114">
        <v>8.4427092494068923</v>
      </c>
      <c r="AW171" s="1053">
        <v>8.3570580339537344</v>
      </c>
      <c r="AX171" s="1114">
        <v>8.2714068185005747</v>
      </c>
      <c r="AY171" s="1051">
        <v>8.185755603047415</v>
      </c>
      <c r="AZ171" s="1051">
        <v>8.1001043875942571</v>
      </c>
      <c r="BA171" s="1051">
        <v>8.014453172141101</v>
      </c>
      <c r="BB171" s="1053">
        <v>7.928801956687944</v>
      </c>
      <c r="BC171" s="1051">
        <v>7.8431507412347843</v>
      </c>
      <c r="BD171" s="1051">
        <v>7.7574995257816255</v>
      </c>
      <c r="BE171" s="1051">
        <v>7.6718483103284685</v>
      </c>
      <c r="BF171" s="1051">
        <v>7.5861970948753097</v>
      </c>
      <c r="BG171" s="1051">
        <v>7.5005458794221527</v>
      </c>
      <c r="BH171" s="1051">
        <v>7.4148946639689948</v>
      </c>
      <c r="BI171" s="1051">
        <v>7.329243448515836</v>
      </c>
      <c r="BJ171" s="1051">
        <v>7.2435922330626772</v>
      </c>
      <c r="BK171" s="1051">
        <v>7.1579410176095202</v>
      </c>
      <c r="BL171" s="1051">
        <v>7.0722898021563605</v>
      </c>
      <c r="BM171" s="1051">
        <v>6.9866385867032035</v>
      </c>
      <c r="BN171" s="1051">
        <v>6.9009873712500465</v>
      </c>
      <c r="BO171" s="1051">
        <v>6.8153361557968877</v>
      </c>
      <c r="BP171" s="1051">
        <v>6.7296849403437289</v>
      </c>
      <c r="BQ171" s="1051">
        <v>6.6440337248905692</v>
      </c>
      <c r="BR171" s="1051">
        <v>6.5583825094374122</v>
      </c>
      <c r="BS171" s="1051">
        <v>6.4727312939842552</v>
      </c>
      <c r="BT171" s="1051">
        <v>6.387080078531099</v>
      </c>
      <c r="BU171" s="1051">
        <v>6.3014288630779394</v>
      </c>
      <c r="BV171" s="1051">
        <v>6.2157776476247806</v>
      </c>
    </row>
    <row r="172" spans="1:74" s="85" customFormat="1" ht="18" customHeight="1" x14ac:dyDescent="0.4">
      <c r="A172" s="860"/>
      <c r="B172" s="833" t="s">
        <v>427</v>
      </c>
      <c r="C172" s="1108" t="s">
        <v>44</v>
      </c>
      <c r="D172" s="883"/>
      <c r="E172" s="31" t="s">
        <v>107</v>
      </c>
      <c r="F172" s="39"/>
      <c r="G172" s="46" t="s">
        <v>203</v>
      </c>
      <c r="H172" s="1017"/>
      <c r="I172" s="173"/>
      <c r="J172" s="173"/>
      <c r="K172" s="173"/>
      <c r="L172" s="173"/>
      <c r="M172" s="173"/>
      <c r="N172" s="173"/>
      <c r="O172" s="173"/>
      <c r="P172" s="173"/>
      <c r="Q172" s="173"/>
      <c r="R172" s="173"/>
      <c r="S172" s="173"/>
      <c r="T172" s="173"/>
      <c r="U172" s="173"/>
      <c r="V172" s="173"/>
      <c r="W172" s="173"/>
      <c r="X172" s="791"/>
      <c r="Y172" s="173"/>
      <c r="Z172" s="173"/>
      <c r="AA172" s="173"/>
      <c r="AB172" s="173"/>
      <c r="AC172" s="173"/>
      <c r="AD172" s="173"/>
      <c r="AE172" s="173"/>
      <c r="AF172" s="173"/>
      <c r="AG172" s="173"/>
      <c r="AH172" s="173"/>
      <c r="AI172" s="173"/>
      <c r="AJ172" s="173"/>
      <c r="AK172" s="173"/>
      <c r="AL172" s="173"/>
      <c r="AM172" s="173"/>
      <c r="AN172" s="173"/>
      <c r="AO172" s="173"/>
      <c r="AP172" s="173"/>
      <c r="AQ172" s="173"/>
      <c r="AR172" s="168">
        <f>AR141</f>
        <v>6.9548672102305868</v>
      </c>
      <c r="AS172" s="1051">
        <v>6.9601336952020576</v>
      </c>
      <c r="AT172" s="1051">
        <v>6.8969709243403958</v>
      </c>
      <c r="AU172" s="1051">
        <v>6.8337046887622108</v>
      </c>
      <c r="AV172" s="1051">
        <v>6.7703349884675026</v>
      </c>
      <c r="AW172" s="1053">
        <v>6.7068618234562649</v>
      </c>
      <c r="AX172" s="1051">
        <v>6.6432851937285067</v>
      </c>
      <c r="AY172" s="1051">
        <v>6.579605099284219</v>
      </c>
      <c r="AZ172" s="1051">
        <v>6.5158215401234116</v>
      </c>
      <c r="BA172" s="1051">
        <v>6.4519345162460757</v>
      </c>
      <c r="BB172" s="1053">
        <v>6.3879440276522157</v>
      </c>
      <c r="BC172" s="1051">
        <v>6.3238500743418324</v>
      </c>
      <c r="BD172" s="1051">
        <v>6.2596526563149215</v>
      </c>
      <c r="BE172" s="1051">
        <v>6.1953517735714883</v>
      </c>
      <c r="BF172" s="1051">
        <v>6.13094742611153</v>
      </c>
      <c r="BG172" s="1051">
        <v>6.0664396139350432</v>
      </c>
      <c r="BH172" s="1051">
        <v>6.0018283370420358</v>
      </c>
      <c r="BI172" s="1051">
        <v>5.9371135954325016</v>
      </c>
      <c r="BJ172" s="1051">
        <v>5.8722953891064433</v>
      </c>
      <c r="BK172" s="1051">
        <v>5.80737371806386</v>
      </c>
      <c r="BL172" s="1051">
        <v>5.7423485823047526</v>
      </c>
      <c r="BM172" s="1051">
        <v>5.6772199818291202</v>
      </c>
      <c r="BN172" s="1051">
        <v>5.6119879166369628</v>
      </c>
      <c r="BO172" s="1051">
        <v>5.5466523867282813</v>
      </c>
      <c r="BP172" s="1051">
        <v>5.4812133921030721</v>
      </c>
      <c r="BQ172" s="1051">
        <v>5.4156709327613397</v>
      </c>
      <c r="BR172" s="1051">
        <v>5.3500250087030832</v>
      </c>
      <c r="BS172" s="1051">
        <v>5.2842756199283007</v>
      </c>
      <c r="BT172" s="1051">
        <v>5.218422766436996</v>
      </c>
      <c r="BU172" s="1051">
        <v>5.1524664482291636</v>
      </c>
      <c r="BV172" s="1051">
        <v>5.0864066653048088</v>
      </c>
    </row>
    <row r="173" spans="1:74" s="85" customFormat="1" ht="18" customHeight="1" x14ac:dyDescent="0.4">
      <c r="A173" s="860"/>
      <c r="B173" s="833" t="s">
        <v>411</v>
      </c>
      <c r="C173" s="1108" t="s">
        <v>44</v>
      </c>
      <c r="D173" s="883"/>
      <c r="E173" s="31" t="s">
        <v>409</v>
      </c>
      <c r="F173" s="46"/>
      <c r="G173" s="46" t="s">
        <v>410</v>
      </c>
      <c r="H173" s="1017"/>
      <c r="I173" s="173"/>
      <c r="J173" s="173"/>
      <c r="K173" s="173"/>
      <c r="L173" s="173"/>
      <c r="M173" s="173"/>
      <c r="N173" s="173"/>
      <c r="O173" s="173"/>
      <c r="P173" s="173"/>
      <c r="Q173" s="173"/>
      <c r="R173" s="173"/>
      <c r="S173" s="173"/>
      <c r="T173" s="173"/>
      <c r="U173" s="173"/>
      <c r="V173" s="173"/>
      <c r="W173" s="173"/>
      <c r="X173" s="791"/>
      <c r="Y173" s="173"/>
      <c r="Z173" s="173"/>
      <c r="AA173" s="173"/>
      <c r="AB173" s="173"/>
      <c r="AC173" s="173"/>
      <c r="AD173" s="173"/>
      <c r="AE173" s="173"/>
      <c r="AF173" s="173"/>
      <c r="AG173" s="173"/>
      <c r="AH173" s="173"/>
      <c r="AI173" s="173"/>
      <c r="AJ173" s="173"/>
      <c r="AK173" s="173"/>
      <c r="AL173" s="173"/>
      <c r="AM173" s="173"/>
      <c r="AN173" s="173"/>
      <c r="AO173" s="173"/>
      <c r="AP173" s="173"/>
      <c r="AQ173" s="173"/>
      <c r="AR173" s="168"/>
      <c r="AS173" s="1098">
        <v>1.7569569852504103</v>
      </c>
      <c r="AT173" s="1051">
        <v>1.7409275903139616</v>
      </c>
      <c r="AU173" s="1051">
        <v>1.724873792561552</v>
      </c>
      <c r="AV173" s="1051">
        <v>1.7087955919931821</v>
      </c>
      <c r="AW173" s="1053">
        <v>1.6926929886088482</v>
      </c>
      <c r="AX173" s="1051">
        <v>1.6765659824085548</v>
      </c>
      <c r="AY173" s="1051">
        <v>1.6604145733922984</v>
      </c>
      <c r="AZ173" s="1051">
        <v>1.6442387615600815</v>
      </c>
      <c r="BA173" s="1051">
        <v>1.6280385469119032</v>
      </c>
      <c r="BB173" s="1053">
        <v>1.6118139294477629</v>
      </c>
      <c r="BC173" s="1051">
        <v>1.5955649091676603</v>
      </c>
      <c r="BD173" s="1051">
        <v>1.5792914860715968</v>
      </c>
      <c r="BE173" s="1051">
        <v>1.5629936601595724</v>
      </c>
      <c r="BF173" s="1051">
        <v>1.5466714314315868</v>
      </c>
      <c r="BG173" s="1051">
        <v>1.5303247998876377</v>
      </c>
      <c r="BH173" s="1051">
        <v>1.5139537655277291</v>
      </c>
      <c r="BI173" s="1051">
        <v>1.4975583283518588</v>
      </c>
      <c r="BJ173" s="1051">
        <v>1.4811384883600258</v>
      </c>
      <c r="BK173" s="1051">
        <v>1.4646942455522323</v>
      </c>
      <c r="BL173" s="1051">
        <v>1.4482255999284774</v>
      </c>
      <c r="BM173" s="1051">
        <v>1.43173255148876</v>
      </c>
      <c r="BN173" s="1051">
        <v>1.4152151002330824</v>
      </c>
      <c r="BO173" s="1051">
        <v>1.398673246161442</v>
      </c>
      <c r="BP173" s="1051">
        <v>1.3821069892738402</v>
      </c>
      <c r="BQ173" s="1051">
        <v>1.3655163295702777</v>
      </c>
      <c r="BR173" s="1051">
        <v>1.3489012670507528</v>
      </c>
      <c r="BS173" s="1051">
        <v>1.332261801715267</v>
      </c>
      <c r="BT173" s="1051">
        <v>1.3155979335638199</v>
      </c>
      <c r="BU173" s="1051">
        <v>1.2989096625964109</v>
      </c>
      <c r="BV173" s="1051">
        <v>1.2821969888130407</v>
      </c>
    </row>
    <row r="174" spans="1:74" s="68" customFormat="1" ht="18" customHeight="1" x14ac:dyDescent="0.4">
      <c r="A174" s="859"/>
      <c r="B174" s="842"/>
      <c r="C174" s="1108" t="s">
        <v>271</v>
      </c>
      <c r="D174" s="884" t="s">
        <v>44</v>
      </c>
      <c r="E174" s="11" t="s">
        <v>22</v>
      </c>
      <c r="F174" s="10" t="str">
        <f>$F$143</f>
        <v>Losun vegna iðragerjunar og meðhöndlunar húsdýraáburðar</v>
      </c>
      <c r="G174" s="10" t="s">
        <v>129</v>
      </c>
      <c r="H174" s="64"/>
      <c r="I174" s="12"/>
      <c r="J174" s="12"/>
      <c r="K174" s="12"/>
      <c r="L174" s="12"/>
      <c r="M174" s="12"/>
      <c r="N174" s="12"/>
      <c r="O174" s="12"/>
      <c r="P174" s="12"/>
      <c r="Q174" s="12"/>
      <c r="R174" s="12"/>
      <c r="S174" s="12"/>
      <c r="T174" s="12"/>
      <c r="U174" s="12"/>
      <c r="V174" s="12"/>
      <c r="W174" s="12"/>
      <c r="X174" s="791"/>
      <c r="Y174" s="12"/>
      <c r="Z174" s="12"/>
      <c r="AA174" s="12"/>
      <c r="AB174" s="12"/>
      <c r="AC174" s="12"/>
      <c r="AD174" s="12"/>
      <c r="AE174" s="12"/>
      <c r="AF174" s="12"/>
      <c r="AG174" s="12"/>
      <c r="AH174" s="12"/>
      <c r="AI174" s="12"/>
      <c r="AJ174" s="12"/>
      <c r="AK174" s="12"/>
      <c r="AL174" s="12"/>
      <c r="AM174" s="12"/>
      <c r="AN174" s="12"/>
      <c r="AO174" s="12"/>
      <c r="AP174" s="12"/>
      <c r="AQ174" s="12"/>
      <c r="AR174" s="168">
        <f>AR143</f>
        <v>22.773212088953969</v>
      </c>
      <c r="AS174" s="11">
        <f>SUM(AS175:AS178)</f>
        <v>22.676003990787834</v>
      </c>
      <c r="AT174" s="11">
        <f t="shared" ref="AT174:BA174" si="65">SUM(AT175:AT178)</f>
        <v>22.577138695336991</v>
      </c>
      <c r="AU174" s="11">
        <f t="shared" si="65"/>
        <v>22.478273399886145</v>
      </c>
      <c r="AV174" s="11">
        <f t="shared" si="65"/>
        <v>22.379408104435306</v>
      </c>
      <c r="AW174" s="704">
        <f t="shared" si="65"/>
        <v>22.28054280898446</v>
      </c>
      <c r="AX174" s="11">
        <f t="shared" si="65"/>
        <v>22.181677513533618</v>
      </c>
      <c r="AY174" s="11">
        <f t="shared" si="65"/>
        <v>22.082812218082776</v>
      </c>
      <c r="AZ174" s="11">
        <f t="shared" si="65"/>
        <v>21.98394692263194</v>
      </c>
      <c r="BA174" s="11">
        <f t="shared" si="65"/>
        <v>21.885081627181098</v>
      </c>
      <c r="BB174" s="704">
        <f t="shared" ref="BB174:BO174" si="66">SUM(BB175:BB178)</f>
        <v>21.786216331730255</v>
      </c>
      <c r="BC174" s="11">
        <f t="shared" si="66"/>
        <v>21.687351036279409</v>
      </c>
      <c r="BD174" s="11">
        <f t="shared" si="66"/>
        <v>21.588485740828567</v>
      </c>
      <c r="BE174" s="11">
        <f t="shared" si="66"/>
        <v>21.489620445377728</v>
      </c>
      <c r="BF174" s="11">
        <f t="shared" si="66"/>
        <v>21.390755149926882</v>
      </c>
      <c r="BG174" s="11">
        <f t="shared" si="66"/>
        <v>21.291889854476047</v>
      </c>
      <c r="BH174" s="11">
        <f t="shared" si="66"/>
        <v>21.193024559025197</v>
      </c>
      <c r="BI174" s="11">
        <f t="shared" si="66"/>
        <v>21.094159263574362</v>
      </c>
      <c r="BJ174" s="11">
        <f t="shared" si="66"/>
        <v>20.995293968123519</v>
      </c>
      <c r="BK174" s="11">
        <f t="shared" si="66"/>
        <v>20.896428672672677</v>
      </c>
      <c r="BL174" s="11">
        <f t="shared" si="66"/>
        <v>20.797563377221831</v>
      </c>
      <c r="BM174" s="11">
        <f t="shared" si="66"/>
        <v>20.698698081770988</v>
      </c>
      <c r="BN174" s="11">
        <f t="shared" si="66"/>
        <v>20.599832786320139</v>
      </c>
      <c r="BO174" s="11">
        <f t="shared" si="66"/>
        <v>20.500967490869307</v>
      </c>
      <c r="BP174" s="11">
        <f t="shared" ref="BP174:BU174" si="67">SUM(BP175:BP178)</f>
        <v>20.402102195418458</v>
      </c>
      <c r="BQ174" s="11">
        <f t="shared" si="67"/>
        <v>20.303236899967619</v>
      </c>
      <c r="BR174" s="11">
        <f t="shared" si="67"/>
        <v>20.204371604516776</v>
      </c>
      <c r="BS174" s="11">
        <f t="shared" si="67"/>
        <v>20.10550630906593</v>
      </c>
      <c r="BT174" s="11">
        <f t="shared" si="67"/>
        <v>20.006641013615095</v>
      </c>
      <c r="BU174" s="11">
        <f t="shared" si="67"/>
        <v>19.907775718164253</v>
      </c>
      <c r="BV174" s="11">
        <f t="shared" ref="BV174" si="68">SUM(BV175:BV178)</f>
        <v>19.80891042271341</v>
      </c>
    </row>
    <row r="175" spans="1:74" s="85" customFormat="1" ht="18" customHeight="1" x14ac:dyDescent="0.4">
      <c r="A175" s="860"/>
      <c r="B175" s="833" t="s">
        <v>431</v>
      </c>
      <c r="C175" s="1108" t="s">
        <v>44</v>
      </c>
      <c r="D175" s="884" t="s">
        <v>44</v>
      </c>
      <c r="E175" s="31" t="s">
        <v>105</v>
      </c>
      <c r="F175" s="39"/>
      <c r="G175" s="46" t="s">
        <v>201</v>
      </c>
      <c r="H175" s="1017"/>
      <c r="I175" s="173"/>
      <c r="J175" s="173"/>
      <c r="K175" s="173"/>
      <c r="L175" s="173"/>
      <c r="M175" s="173"/>
      <c r="N175" s="173"/>
      <c r="O175" s="173"/>
      <c r="P175" s="173"/>
      <c r="Q175" s="173"/>
      <c r="R175" s="173"/>
      <c r="S175" s="173"/>
      <c r="T175" s="173"/>
      <c r="U175" s="173"/>
      <c r="V175" s="173"/>
      <c r="W175" s="173"/>
      <c r="X175" s="791"/>
      <c r="Y175" s="173"/>
      <c r="Z175" s="173"/>
      <c r="AA175" s="173"/>
      <c r="AB175" s="173"/>
      <c r="AC175" s="173"/>
      <c r="AD175" s="173"/>
      <c r="AE175" s="173"/>
      <c r="AF175" s="173"/>
      <c r="AG175" s="173"/>
      <c r="AH175" s="173"/>
      <c r="AI175" s="173"/>
      <c r="AJ175" s="173"/>
      <c r="AK175" s="173"/>
      <c r="AL175" s="173"/>
      <c r="AM175" s="173"/>
      <c r="AN175" s="173"/>
      <c r="AO175" s="173"/>
      <c r="AP175" s="173"/>
      <c r="AQ175" s="173"/>
      <c r="AR175" s="168">
        <f>AR144</f>
        <v>20.324335368490797</v>
      </c>
      <c r="AS175" s="1114">
        <v>20.236107796433473</v>
      </c>
      <c r="AT175" s="1114">
        <v>20.147880224376141</v>
      </c>
      <c r="AU175" s="1114">
        <v>20.059652652318814</v>
      </c>
      <c r="AV175" s="1114">
        <v>19.971425080261486</v>
      </c>
      <c r="AW175" s="1092">
        <v>19.883197508204159</v>
      </c>
      <c r="AX175" s="1114">
        <v>19.794969936146828</v>
      </c>
      <c r="AY175" s="1114">
        <v>19.7067423640895</v>
      </c>
      <c r="AZ175" s="1114">
        <v>19.618514792032176</v>
      </c>
      <c r="BA175" s="1114">
        <v>19.530287219974845</v>
      </c>
      <c r="BB175" s="1092">
        <v>19.442059647917521</v>
      </c>
      <c r="BC175" s="1114">
        <v>19.353832075860186</v>
      </c>
      <c r="BD175" s="1114">
        <v>19.265604503802862</v>
      </c>
      <c r="BE175" s="1114">
        <v>19.177376931745535</v>
      </c>
      <c r="BF175" s="1114">
        <v>19.089149359688207</v>
      </c>
      <c r="BG175" s="1114">
        <v>19.000921787630883</v>
      </c>
      <c r="BH175" s="1114">
        <v>18.912694215573552</v>
      </c>
      <c r="BI175" s="1114">
        <v>18.824466643516224</v>
      </c>
      <c r="BJ175" s="1114">
        <v>18.7362390714589</v>
      </c>
      <c r="BK175" s="1114">
        <v>18.648011499401569</v>
      </c>
      <c r="BL175" s="1114">
        <v>18.559783927344242</v>
      </c>
      <c r="BM175" s="1114">
        <v>18.471556355286911</v>
      </c>
      <c r="BN175" s="1114">
        <v>18.38332878322958</v>
      </c>
      <c r="BO175" s="1114">
        <v>18.295101211172259</v>
      </c>
      <c r="BP175" s="1114">
        <v>18.206873639114928</v>
      </c>
      <c r="BQ175" s="1114">
        <v>18.1186460670576</v>
      </c>
      <c r="BR175" s="1114">
        <v>18.030418495000273</v>
      </c>
      <c r="BS175" s="1114">
        <v>17.942190922942942</v>
      </c>
      <c r="BT175" s="1114">
        <v>17.853963350885618</v>
      </c>
      <c r="BU175" s="1114">
        <v>17.76573577882829</v>
      </c>
      <c r="BV175" s="1114">
        <v>17.677508206770963</v>
      </c>
    </row>
    <row r="176" spans="1:74" s="85" customFormat="1" ht="18" customHeight="1" x14ac:dyDescent="0.4">
      <c r="A176" s="860"/>
      <c r="B176" s="833" t="s">
        <v>430</v>
      </c>
      <c r="C176" s="1108" t="s">
        <v>44</v>
      </c>
      <c r="D176" s="884" t="s">
        <v>44</v>
      </c>
      <c r="E176" s="31" t="s">
        <v>106</v>
      </c>
      <c r="F176" s="39"/>
      <c r="G176" s="46" t="s">
        <v>202</v>
      </c>
      <c r="H176" s="1017"/>
      <c r="I176" s="173"/>
      <c r="J176" s="173"/>
      <c r="K176" s="173"/>
      <c r="L176" s="173"/>
      <c r="M176" s="173"/>
      <c r="N176" s="173"/>
      <c r="O176" s="173"/>
      <c r="P176" s="173"/>
      <c r="Q176" s="173"/>
      <c r="R176" s="173"/>
      <c r="S176" s="173"/>
      <c r="T176" s="173"/>
      <c r="U176" s="173"/>
      <c r="V176" s="173"/>
      <c r="W176" s="173"/>
      <c r="X176" s="791"/>
      <c r="Y176" s="173"/>
      <c r="Z176" s="173"/>
      <c r="AA176" s="173"/>
      <c r="AB176" s="173"/>
      <c r="AC176" s="173"/>
      <c r="AD176" s="173"/>
      <c r="AE176" s="173"/>
      <c r="AF176" s="173"/>
      <c r="AG176" s="173"/>
      <c r="AH176" s="173"/>
      <c r="AI176" s="173"/>
      <c r="AJ176" s="173"/>
      <c r="AK176" s="173"/>
      <c r="AL176" s="173"/>
      <c r="AM176" s="173"/>
      <c r="AN176" s="173"/>
      <c r="AO176" s="173"/>
      <c r="AP176" s="173"/>
      <c r="AQ176" s="173"/>
      <c r="AR176" s="168">
        <f>AR145</f>
        <v>1.1340576962377287</v>
      </c>
      <c r="AS176" s="1051">
        <v>1.1291347722996059</v>
      </c>
      <c r="AT176" s="1051">
        <v>1.1242118483614831</v>
      </c>
      <c r="AU176" s="1051">
        <v>1.1192889244233599</v>
      </c>
      <c r="AV176" s="1051">
        <v>1.1143660004852369</v>
      </c>
      <c r="AW176" s="1053">
        <v>1.1094430765471142</v>
      </c>
      <c r="AX176" s="1051">
        <v>1.1045201526089912</v>
      </c>
      <c r="AY176" s="1051">
        <v>1.0995972286708682</v>
      </c>
      <c r="AZ176" s="1051">
        <v>1.0946743047327454</v>
      </c>
      <c r="BA176" s="1051">
        <v>1.0897513807946229</v>
      </c>
      <c r="BB176" s="1053">
        <v>1.0848284568564999</v>
      </c>
      <c r="BC176" s="1051">
        <v>1.0799055329183767</v>
      </c>
      <c r="BD176" s="1051">
        <v>1.0749826089802541</v>
      </c>
      <c r="BE176" s="1051">
        <v>1.0700596850421309</v>
      </c>
      <c r="BF176" s="1051">
        <v>1.0651367611040081</v>
      </c>
      <c r="BG176" s="1051">
        <v>1.0602138371658854</v>
      </c>
      <c r="BH176" s="1051">
        <v>1.0552909132277621</v>
      </c>
      <c r="BI176" s="1051">
        <v>1.0503679892896394</v>
      </c>
      <c r="BJ176" s="1051">
        <v>1.0454450653515166</v>
      </c>
      <c r="BK176" s="1051">
        <v>1.0405221414133936</v>
      </c>
      <c r="BL176" s="1051">
        <v>1.0355992174752704</v>
      </c>
      <c r="BM176" s="1051">
        <v>1.0306762935371476</v>
      </c>
      <c r="BN176" s="1051">
        <v>1.0257533695990246</v>
      </c>
      <c r="BO176" s="1051">
        <v>1.0208304456609016</v>
      </c>
      <c r="BP176" s="1051">
        <v>1.0159075217227791</v>
      </c>
      <c r="BQ176" s="1051">
        <v>1.0109845977846561</v>
      </c>
      <c r="BR176" s="1051">
        <v>1.0060616738465331</v>
      </c>
      <c r="BS176" s="1051">
        <v>1.0011387499084101</v>
      </c>
      <c r="BT176" s="1051">
        <v>0.99621582597028735</v>
      </c>
      <c r="BU176" s="1051">
        <v>0.99129290203216447</v>
      </c>
      <c r="BV176" s="1051">
        <v>0.98636997809404181</v>
      </c>
    </row>
    <row r="177" spans="1:74" s="85" customFormat="1" ht="18" customHeight="1" x14ac:dyDescent="0.4">
      <c r="A177" s="860"/>
      <c r="B177" s="833" t="s">
        <v>429</v>
      </c>
      <c r="C177" s="1109" t="s">
        <v>44</v>
      </c>
      <c r="D177" s="884" t="s">
        <v>44</v>
      </c>
      <c r="E177" s="31" t="s">
        <v>107</v>
      </c>
      <c r="F177" s="39"/>
      <c r="G177" s="46" t="s">
        <v>203</v>
      </c>
      <c r="H177" s="1017"/>
      <c r="I177" s="173"/>
      <c r="J177" s="173"/>
      <c r="K177" s="173"/>
      <c r="L177" s="173"/>
      <c r="M177" s="173"/>
      <c r="N177" s="173"/>
      <c r="O177" s="173"/>
      <c r="P177" s="173"/>
      <c r="Q177" s="173"/>
      <c r="R177" s="173"/>
      <c r="S177" s="173"/>
      <c r="T177" s="173"/>
      <c r="U177" s="173"/>
      <c r="V177" s="173"/>
      <c r="W177" s="173"/>
      <c r="X177" s="791"/>
      <c r="Y177" s="173"/>
      <c r="Z177" s="173"/>
      <c r="AA177" s="173"/>
      <c r="AB177" s="173"/>
      <c r="AC177" s="173"/>
      <c r="AD177" s="173"/>
      <c r="AE177" s="173"/>
      <c r="AF177" s="173"/>
      <c r="AG177" s="173"/>
      <c r="AH177" s="173"/>
      <c r="AI177" s="173"/>
      <c r="AJ177" s="173"/>
      <c r="AK177" s="173"/>
      <c r="AL177" s="173"/>
      <c r="AM177" s="173"/>
      <c r="AN177" s="173"/>
      <c r="AO177" s="173"/>
      <c r="AP177" s="173"/>
      <c r="AQ177" s="173"/>
      <c r="AR177" s="168">
        <f>AR146</f>
        <v>1.0833685861374389</v>
      </c>
      <c r="AS177" s="1115">
        <v>1.0786657027090207</v>
      </c>
      <c r="AT177" s="1115">
        <v>1.0739628192806026</v>
      </c>
      <c r="AU177" s="1115">
        <v>1.0692599358521848</v>
      </c>
      <c r="AV177" s="1115">
        <v>1.0645570524237669</v>
      </c>
      <c r="AW177" s="1101">
        <v>1.0598541689953487</v>
      </c>
      <c r="AX177" s="1115">
        <v>1.0551512855669303</v>
      </c>
      <c r="AY177" s="1115">
        <v>1.0504484021385123</v>
      </c>
      <c r="AZ177" s="1115">
        <v>1.0457455187100944</v>
      </c>
      <c r="BA177" s="1115">
        <v>1.0410426352816766</v>
      </c>
      <c r="BB177" s="1101">
        <v>1.0363397518532584</v>
      </c>
      <c r="BC177" s="1115">
        <v>1.03163686842484</v>
      </c>
      <c r="BD177" s="1115">
        <v>1.0269339849964219</v>
      </c>
      <c r="BE177" s="1115">
        <v>1.0222311015680046</v>
      </c>
      <c r="BF177" s="1115">
        <v>1.0175282181395859</v>
      </c>
      <c r="BG177" s="1115">
        <v>1.0128253347111682</v>
      </c>
      <c r="BH177" s="1115">
        <v>1.00812245128275</v>
      </c>
      <c r="BI177" s="1115">
        <v>1.0034195678543323</v>
      </c>
      <c r="BJ177" s="1115">
        <v>0.9987166844259141</v>
      </c>
      <c r="BK177" s="1115">
        <v>0.99401380099749592</v>
      </c>
      <c r="BL177" s="1115">
        <v>0.98931091756907774</v>
      </c>
      <c r="BM177" s="1115">
        <v>0.98460803414065989</v>
      </c>
      <c r="BN177" s="1115">
        <v>0.97990515071224171</v>
      </c>
      <c r="BO177" s="1115">
        <v>0.97520226728382364</v>
      </c>
      <c r="BP177" s="1115">
        <v>0.97049938385540591</v>
      </c>
      <c r="BQ177" s="1115">
        <v>0.96579650042698761</v>
      </c>
      <c r="BR177" s="1115">
        <v>0.96109361699856943</v>
      </c>
      <c r="BS177" s="1115">
        <v>0.95639073357015103</v>
      </c>
      <c r="BT177" s="1115">
        <v>0.95168785014173374</v>
      </c>
      <c r="BU177" s="1115">
        <v>0.94698496671331556</v>
      </c>
      <c r="BV177" s="1115">
        <v>0.94228208328489704</v>
      </c>
    </row>
    <row r="178" spans="1:74" s="85" customFormat="1" ht="18" customHeight="1" x14ac:dyDescent="0.4">
      <c r="A178" s="860"/>
      <c r="B178" s="833" t="s">
        <v>412</v>
      </c>
      <c r="C178" s="1108" t="s">
        <v>44</v>
      </c>
      <c r="D178" s="884"/>
      <c r="E178" s="31" t="s">
        <v>409</v>
      </c>
      <c r="F178" s="1023"/>
      <c r="G178" s="46" t="s">
        <v>410</v>
      </c>
      <c r="H178" s="1017"/>
      <c r="I178" s="173"/>
      <c r="J178" s="173"/>
      <c r="K178" s="173"/>
      <c r="L178" s="173"/>
      <c r="M178" s="173"/>
      <c r="N178" s="173"/>
      <c r="O178" s="173"/>
      <c r="P178" s="173"/>
      <c r="Q178" s="173"/>
      <c r="R178" s="173"/>
      <c r="S178" s="173"/>
      <c r="T178" s="173"/>
      <c r="U178" s="173"/>
      <c r="V178" s="173"/>
      <c r="W178" s="173"/>
      <c r="X178" s="791"/>
      <c r="Y178" s="173"/>
      <c r="Z178" s="173"/>
      <c r="AA178" s="173"/>
      <c r="AB178" s="173"/>
      <c r="AC178" s="173"/>
      <c r="AD178" s="173"/>
      <c r="AE178" s="173"/>
      <c r="AF178" s="173"/>
      <c r="AG178" s="173"/>
      <c r="AH178" s="173"/>
      <c r="AI178" s="173"/>
      <c r="AJ178" s="173"/>
      <c r="AK178" s="173"/>
      <c r="AL178" s="173"/>
      <c r="AM178" s="173"/>
      <c r="AN178" s="173"/>
      <c r="AO178" s="173"/>
      <c r="AP178" s="173"/>
      <c r="AQ178" s="173"/>
      <c r="AR178" s="168"/>
      <c r="AS178" s="1098">
        <v>0.23209571934573758</v>
      </c>
      <c r="AT178" s="1115">
        <v>0.23108380331876419</v>
      </c>
      <c r="AU178" s="1115">
        <v>0.23007188729179071</v>
      </c>
      <c r="AV178" s="1115">
        <v>0.22905997126481725</v>
      </c>
      <c r="AW178" s="1101">
        <v>0.22804805523784383</v>
      </c>
      <c r="AX178" s="1115">
        <v>0.22703613921087035</v>
      </c>
      <c r="AY178" s="1115">
        <v>0.22602422318389684</v>
      </c>
      <c r="AZ178" s="1115">
        <v>0.22501230715692344</v>
      </c>
      <c r="BA178" s="1115">
        <v>0.22400039112995004</v>
      </c>
      <c r="BB178" s="1101">
        <v>0.22298847510297659</v>
      </c>
      <c r="BC178" s="1115">
        <v>0.22197655907600308</v>
      </c>
      <c r="BD178" s="1115">
        <v>0.22096464304902963</v>
      </c>
      <c r="BE178" s="1115">
        <v>0.2199527270220562</v>
      </c>
      <c r="BF178" s="1115">
        <v>0.21894081099508275</v>
      </c>
      <c r="BG178" s="1115">
        <v>0.21792889496810941</v>
      </c>
      <c r="BH178" s="1115">
        <v>0.2169169789411359</v>
      </c>
      <c r="BI178" s="1115">
        <v>0.21590506291416242</v>
      </c>
      <c r="BJ178" s="1115">
        <v>0.21489314688718897</v>
      </c>
      <c r="BK178" s="1115">
        <v>0.21388123086021554</v>
      </c>
      <c r="BL178" s="1115">
        <v>0.21286931483324201</v>
      </c>
      <c r="BM178" s="1115">
        <v>0.21185739880626867</v>
      </c>
      <c r="BN178" s="1115">
        <v>0.21084548277929513</v>
      </c>
      <c r="BO178" s="1115">
        <v>0.20983356675232179</v>
      </c>
      <c r="BP178" s="1115">
        <v>0.20882165072534833</v>
      </c>
      <c r="BQ178" s="1115">
        <v>0.20780973469837483</v>
      </c>
      <c r="BR178" s="1115">
        <v>0.20679781867140129</v>
      </c>
      <c r="BS178" s="1115">
        <v>0.20578590264442781</v>
      </c>
      <c r="BT178" s="1115">
        <v>0.20477398661745452</v>
      </c>
      <c r="BU178" s="1115">
        <v>0.20376207059048101</v>
      </c>
      <c r="BV178" s="1115">
        <v>0.20275015456350753</v>
      </c>
    </row>
    <row r="179" spans="1:74" s="68" customFormat="1" ht="18" customHeight="1" x14ac:dyDescent="0.4">
      <c r="A179" s="859"/>
      <c r="B179" s="842"/>
      <c r="C179" s="1108" t="s">
        <v>272</v>
      </c>
      <c r="D179" s="884" t="s">
        <v>44</v>
      </c>
      <c r="E179" s="11" t="s">
        <v>23</v>
      </c>
      <c r="F179" s="64"/>
      <c r="G179" s="10" t="s">
        <v>164</v>
      </c>
      <c r="H179" s="64"/>
      <c r="I179" s="12"/>
      <c r="J179" s="12"/>
      <c r="K179" s="12"/>
      <c r="L179" s="12"/>
      <c r="M179" s="12"/>
      <c r="N179" s="12"/>
      <c r="O179" s="12"/>
      <c r="P179" s="12"/>
      <c r="Q179" s="12"/>
      <c r="R179" s="12"/>
      <c r="S179" s="12"/>
      <c r="T179" s="12"/>
      <c r="U179" s="12"/>
      <c r="V179" s="12"/>
      <c r="W179" s="12"/>
      <c r="X179" s="791"/>
      <c r="Y179" s="12"/>
      <c r="Z179" s="12"/>
      <c r="AA179" s="12"/>
      <c r="AB179" s="12"/>
      <c r="AC179" s="12"/>
      <c r="AD179" s="12"/>
      <c r="AE179" s="12"/>
      <c r="AF179" s="12"/>
      <c r="AG179" s="12"/>
      <c r="AH179" s="12"/>
      <c r="AI179" s="12"/>
      <c r="AJ179" s="12"/>
      <c r="AK179" s="12"/>
      <c r="AL179" s="12"/>
      <c r="AM179" s="12"/>
      <c r="AN179" s="12"/>
      <c r="AO179" s="12"/>
      <c r="AP179" s="12"/>
      <c r="AQ179" s="12"/>
      <c r="AR179" s="168">
        <f>AR148</f>
        <v>38.304253225316643</v>
      </c>
      <c r="AS179" s="11">
        <f>AS180-SUM(AS152,AS153,AS159,AS164,AS169,AS174)</f>
        <v>36.487128318274586</v>
      </c>
      <c r="AT179" s="11">
        <f t="shared" ref="AT179:BA179" si="69">AT180-SUM(AT152,AT153,AT159,AT164,AT169,AT174)</f>
        <v>36.34373586551385</v>
      </c>
      <c r="AU179" s="11">
        <f t="shared" si="69"/>
        <v>36.230544373166367</v>
      </c>
      <c r="AV179" s="11">
        <f t="shared" si="69"/>
        <v>36.072212359455534</v>
      </c>
      <c r="AW179" s="704">
        <f t="shared" si="69"/>
        <v>35.934002206843729</v>
      </c>
      <c r="AX179" s="11">
        <f t="shared" si="69"/>
        <v>35.814635410969572</v>
      </c>
      <c r="AY179" s="11">
        <f t="shared" si="69"/>
        <v>35.643072435658155</v>
      </c>
      <c r="AZ179" s="11">
        <f t="shared" si="69"/>
        <v>35.509778404500366</v>
      </c>
      <c r="BA179" s="11">
        <f t="shared" si="69"/>
        <v>35.379963784190863</v>
      </c>
      <c r="BB179" s="704">
        <f t="shared" ref="BB179:BO179" si="70">BB180-SUM(BB152,BB153,BB159,BB164,BB169,BB174)</f>
        <v>35.262439293502666</v>
      </c>
      <c r="BC179" s="11">
        <f t="shared" si="70"/>
        <v>35.097562778701786</v>
      </c>
      <c r="BD179" s="11">
        <f t="shared" si="70"/>
        <v>34.951961972107938</v>
      </c>
      <c r="BE179" s="11">
        <f t="shared" si="70"/>
        <v>34.804297373040868</v>
      </c>
      <c r="BF179" s="11">
        <f t="shared" si="70"/>
        <v>34.670828534779048</v>
      </c>
      <c r="BG179" s="11">
        <f t="shared" si="70"/>
        <v>34.538680884512587</v>
      </c>
      <c r="BH179" s="11">
        <f t="shared" si="70"/>
        <v>34.397366572893588</v>
      </c>
      <c r="BI179" s="11">
        <f t="shared" si="70"/>
        <v>34.285001432439003</v>
      </c>
      <c r="BJ179" s="11">
        <f t="shared" si="70"/>
        <v>34.130502532090873</v>
      </c>
      <c r="BK179" s="11">
        <f t="shared" si="70"/>
        <v>33.995002729609496</v>
      </c>
      <c r="BL179" s="11">
        <f t="shared" si="70"/>
        <v>33.877028233629744</v>
      </c>
      <c r="BM179" s="11">
        <f t="shared" si="70"/>
        <v>33.710470163104674</v>
      </c>
      <c r="BN179" s="11">
        <f t="shared" si="70"/>
        <v>33.579735784563695</v>
      </c>
      <c r="BO179" s="11">
        <f t="shared" si="70"/>
        <v>33.452381347574828</v>
      </c>
      <c r="BP179" s="11">
        <f t="shared" ref="BP179:BU179" si="71">BP180-SUM(BP152,BP153,BP159,BP164,BP169,BP174)</f>
        <v>33.334995173919197</v>
      </c>
      <c r="BQ179" s="11">
        <f t="shared" si="71"/>
        <v>33.175111602462721</v>
      </c>
      <c r="BR179" s="11">
        <f t="shared" si="71"/>
        <v>33.033379276658252</v>
      </c>
      <c r="BS179" s="11">
        <f t="shared" si="71"/>
        <v>32.889862168844957</v>
      </c>
      <c r="BT179" s="11">
        <f t="shared" si="71"/>
        <v>32.759727819177897</v>
      </c>
      <c r="BU179" s="11">
        <f t="shared" si="71"/>
        <v>32.631021975798376</v>
      </c>
      <c r="BV179" s="11">
        <f t="shared" ref="BV179" si="72">BV180-SUM(BV152,BV153,BV159,BV164,BV169,BV174)</f>
        <v>32.493920844332138</v>
      </c>
    </row>
    <row r="180" spans="1:74" s="63" customFormat="1" ht="18" customHeight="1" x14ac:dyDescent="0.4">
      <c r="A180" s="861"/>
      <c r="B180" s="842" t="s">
        <v>40</v>
      </c>
      <c r="C180" s="1108" t="s">
        <v>223</v>
      </c>
      <c r="D180" s="884" t="s">
        <v>44</v>
      </c>
      <c r="E180" s="25" t="s">
        <v>117</v>
      </c>
      <c r="F180" s="89"/>
      <c r="G180" s="13"/>
      <c r="H180" s="89"/>
      <c r="I180" s="12"/>
      <c r="J180" s="12"/>
      <c r="K180" s="12"/>
      <c r="L180" s="12"/>
      <c r="M180" s="12"/>
      <c r="N180" s="12"/>
      <c r="O180" s="12"/>
      <c r="P180" s="12"/>
      <c r="Q180" s="12"/>
      <c r="R180" s="12"/>
      <c r="S180" s="12"/>
      <c r="T180" s="12"/>
      <c r="U180" s="12"/>
      <c r="V180" s="12"/>
      <c r="W180" s="12"/>
      <c r="X180" s="791"/>
      <c r="Y180" s="12"/>
      <c r="Z180" s="12"/>
      <c r="AA180" s="12"/>
      <c r="AB180" s="12"/>
      <c r="AC180" s="12"/>
      <c r="AD180" s="12"/>
      <c r="AE180" s="12"/>
      <c r="AF180" s="12"/>
      <c r="AG180" s="12"/>
      <c r="AH180" s="12"/>
      <c r="AI180" s="12"/>
      <c r="AJ180" s="12"/>
      <c r="AK180" s="12"/>
      <c r="AL180" s="12"/>
      <c r="AM180" s="12"/>
      <c r="AN180" s="12"/>
      <c r="AO180" s="12"/>
      <c r="AP180" s="12"/>
      <c r="AQ180" s="12"/>
      <c r="AR180" s="168">
        <f>AR149</f>
        <v>668.34042724521601</v>
      </c>
      <c r="AS180" s="1054">
        <v>668.54619208554391</v>
      </c>
      <c r="AT180" s="1054">
        <v>656.60904705946598</v>
      </c>
      <c r="AU180" s="1054">
        <v>654.4797775470571</v>
      </c>
      <c r="AV180" s="1054">
        <v>652.13871239495563</v>
      </c>
      <c r="AW180" s="1049">
        <v>650.31376558660054</v>
      </c>
      <c r="AX180" s="1054">
        <v>647.73784360894774</v>
      </c>
      <c r="AY180" s="1054">
        <v>646.27685346823318</v>
      </c>
      <c r="AZ180" s="1054">
        <v>644.11762677097295</v>
      </c>
      <c r="BA180" s="1054">
        <v>642.14365199552128</v>
      </c>
      <c r="BB180" s="1049">
        <v>639.5022120899896</v>
      </c>
      <c r="BC180" s="1054">
        <v>636.83164857070074</v>
      </c>
      <c r="BD180" s="1054">
        <v>634.43854896594473</v>
      </c>
      <c r="BE180" s="1054">
        <v>631.91661035643847</v>
      </c>
      <c r="BF180" s="1054">
        <v>629.54618905941356</v>
      </c>
      <c r="BG180" s="1054">
        <v>627.72066486934909</v>
      </c>
      <c r="BH180" s="1054">
        <v>625.60652900788568</v>
      </c>
      <c r="BI180" s="1054">
        <v>623.23429645427916</v>
      </c>
      <c r="BJ180" s="1054">
        <v>621.85847520718653</v>
      </c>
      <c r="BK180" s="1054">
        <v>620.90416111902175</v>
      </c>
      <c r="BL180" s="1054">
        <v>617.63373278586982</v>
      </c>
      <c r="BM180" s="1054">
        <v>615.35622173838874</v>
      </c>
      <c r="BN180" s="1054">
        <v>612.44123308516635</v>
      </c>
      <c r="BO180" s="1054">
        <v>609.69795998429311</v>
      </c>
      <c r="BP180" s="1054">
        <v>606.31781037972337</v>
      </c>
      <c r="BQ180" s="1054">
        <v>602.92761187344752</v>
      </c>
      <c r="BR180" s="1054">
        <v>599.7859546805546</v>
      </c>
      <c r="BS180" s="1054">
        <v>596.52483307963314</v>
      </c>
      <c r="BT180" s="1054">
        <v>593.39974597286641</v>
      </c>
      <c r="BU180" s="1054">
        <v>590.76915468008087</v>
      </c>
      <c r="BV180" s="1054">
        <v>587.87045907676656</v>
      </c>
    </row>
    <row r="181" spans="1:74" s="63" customFormat="1" x14ac:dyDescent="0.4">
      <c r="A181" s="861"/>
      <c r="B181" s="848"/>
      <c r="C181" s="1002"/>
      <c r="D181" s="885"/>
      <c r="E181" s="69"/>
      <c r="F181" s="90"/>
      <c r="G181" s="34"/>
      <c r="H181" s="90"/>
      <c r="I181" s="1104"/>
      <c r="J181" s="1104"/>
      <c r="K181" s="1104"/>
      <c r="L181" s="1104"/>
      <c r="M181" s="1104"/>
      <c r="N181" s="1104"/>
      <c r="O181" s="1104"/>
      <c r="P181" s="1104"/>
      <c r="Q181" s="1104"/>
      <c r="R181" s="1104"/>
      <c r="S181" s="1104"/>
      <c r="T181" s="1104"/>
      <c r="U181" s="1104"/>
      <c r="V181" s="1104"/>
      <c r="W181" s="1104"/>
      <c r="X181" s="82"/>
      <c r="Y181" s="1104"/>
      <c r="Z181" s="1104"/>
      <c r="AA181" s="1104"/>
      <c r="AB181" s="1104"/>
      <c r="AC181" s="1104"/>
      <c r="AD181" s="1104"/>
      <c r="AE181" s="1104"/>
      <c r="AF181" s="1104"/>
      <c r="AG181" s="1104"/>
      <c r="AH181" s="1104"/>
      <c r="AI181" s="1104"/>
      <c r="AJ181" s="1104"/>
      <c r="AK181" s="1104"/>
      <c r="AL181" s="1104"/>
      <c r="AM181" s="1104"/>
      <c r="AN181" s="1104"/>
      <c r="AO181" s="1104"/>
      <c r="AP181" s="1104"/>
      <c r="AQ181" s="1104"/>
      <c r="AR181" s="1105"/>
      <c r="AS181" s="1106"/>
      <c r="BB181" s="621"/>
    </row>
    <row r="182" spans="1:74" s="63" customFormat="1" x14ac:dyDescent="0.4">
      <c r="A182" s="861"/>
      <c r="B182" s="848"/>
      <c r="C182" s="1002"/>
      <c r="D182" s="885"/>
      <c r="E182" s="69"/>
      <c r="F182" s="90"/>
      <c r="G182" s="34"/>
      <c r="H182" s="90"/>
      <c r="I182" s="1104"/>
      <c r="J182" s="1104"/>
      <c r="K182" s="1104"/>
      <c r="L182" s="1104"/>
      <c r="M182" s="1104"/>
      <c r="N182" s="1104"/>
      <c r="O182" s="1104"/>
      <c r="P182" s="1104"/>
      <c r="Q182" s="1104"/>
      <c r="R182" s="1104"/>
      <c r="S182" s="1104"/>
      <c r="T182" s="1104"/>
      <c r="U182" s="1104"/>
      <c r="V182" s="1104"/>
      <c r="W182" s="1104"/>
      <c r="X182" s="82"/>
      <c r="Y182" s="1104"/>
      <c r="Z182" s="1104"/>
      <c r="AA182" s="1104"/>
      <c r="AB182" s="1104"/>
      <c r="AC182" s="1104"/>
      <c r="AD182" s="1104"/>
      <c r="AE182" s="1104"/>
      <c r="AF182" s="1104"/>
      <c r="AG182" s="1104"/>
      <c r="AH182" s="1104"/>
      <c r="AI182" s="1104"/>
      <c r="AJ182" s="1104"/>
      <c r="AK182" s="1104"/>
      <c r="AL182" s="1104"/>
      <c r="AM182" s="1104"/>
      <c r="AN182" s="1104"/>
      <c r="AO182" s="1104"/>
      <c r="AP182" s="1104"/>
      <c r="AQ182" s="1104"/>
      <c r="AR182" s="1105"/>
      <c r="AS182" s="1106"/>
      <c r="AW182" s="621"/>
      <c r="BB182" s="621"/>
    </row>
    <row r="183" spans="1:74" s="817" customFormat="1" ht="37.200000000000003" customHeight="1" x14ac:dyDescent="0.4">
      <c r="A183" s="853"/>
      <c r="B183" s="835"/>
      <c r="C183" s="869"/>
      <c r="D183" s="894"/>
      <c r="E183" s="998" t="s">
        <v>388</v>
      </c>
      <c r="F183" s="1107"/>
      <c r="G183" s="998" t="s">
        <v>387</v>
      </c>
      <c r="H183" s="1107"/>
      <c r="I183" s="814"/>
      <c r="J183" s="815"/>
      <c r="K183" s="815"/>
      <c r="L183" s="815"/>
      <c r="M183" s="815"/>
      <c r="N183" s="815"/>
      <c r="O183" s="815"/>
      <c r="P183" s="815"/>
      <c r="Q183" s="815"/>
      <c r="R183" s="815"/>
      <c r="S183" s="815"/>
      <c r="T183" s="815"/>
      <c r="U183" s="815"/>
      <c r="V183" s="815"/>
      <c r="W183" s="815"/>
      <c r="X183" s="816"/>
      <c r="Y183" s="815"/>
      <c r="Z183" s="815"/>
      <c r="AA183" s="815"/>
      <c r="AB183" s="815"/>
      <c r="AC183" s="815"/>
      <c r="AD183" s="815"/>
      <c r="AE183" s="815"/>
      <c r="AF183" s="815"/>
      <c r="AG183" s="815"/>
      <c r="AH183" s="815"/>
      <c r="AI183" s="815"/>
      <c r="AJ183" s="815"/>
      <c r="AK183" s="815"/>
      <c r="AL183" s="815"/>
      <c r="AM183" s="815"/>
      <c r="AN183" s="815"/>
      <c r="AO183" s="815"/>
      <c r="AP183" s="815"/>
      <c r="AQ183" s="815"/>
      <c r="AR183" s="815"/>
      <c r="AS183" s="815"/>
      <c r="AT183" s="815"/>
      <c r="AU183" s="815"/>
      <c r="AV183" s="815"/>
      <c r="AW183" s="816"/>
      <c r="AX183" s="815"/>
      <c r="AY183" s="815"/>
      <c r="AZ183" s="815"/>
      <c r="BA183" s="815"/>
      <c r="BB183" s="816"/>
      <c r="BC183" s="815"/>
      <c r="BD183" s="815"/>
      <c r="BE183" s="815"/>
      <c r="BF183" s="815"/>
      <c r="BG183" s="815"/>
      <c r="BH183" s="815"/>
      <c r="BI183" s="815"/>
      <c r="BJ183" s="815"/>
      <c r="BK183" s="815"/>
      <c r="BL183" s="815"/>
      <c r="BM183" s="815"/>
      <c r="BN183" s="815"/>
      <c r="BO183" s="815"/>
      <c r="BP183" s="815"/>
      <c r="BQ183" s="815"/>
      <c r="BR183" s="815"/>
      <c r="BS183" s="815"/>
      <c r="BT183" s="815"/>
      <c r="BU183" s="815"/>
      <c r="BV183" s="815"/>
    </row>
    <row r="184" spans="1:74" s="821" customFormat="1" ht="48" customHeight="1" x14ac:dyDescent="0.4">
      <c r="A184" s="855"/>
      <c r="B184" s="838"/>
      <c r="C184" s="873"/>
      <c r="D184" s="1264"/>
      <c r="E184" s="900" t="s">
        <v>391</v>
      </c>
      <c r="F184" s="899"/>
      <c r="G184" s="901" t="s">
        <v>392</v>
      </c>
      <c r="H184" s="899"/>
      <c r="I184" s="818"/>
      <c r="J184" s="819"/>
      <c r="K184" s="819"/>
      <c r="L184" s="819"/>
      <c r="M184" s="819"/>
      <c r="N184" s="819"/>
      <c r="O184" s="819"/>
      <c r="P184" s="819"/>
      <c r="Q184" s="819"/>
      <c r="R184" s="819"/>
      <c r="S184" s="819"/>
      <c r="T184" s="819"/>
      <c r="U184" s="819"/>
      <c r="V184" s="819"/>
      <c r="W184" s="819"/>
      <c r="X184" s="820"/>
      <c r="Y184" s="819"/>
      <c r="Z184" s="819"/>
      <c r="AA184" s="819"/>
      <c r="AB184" s="819"/>
      <c r="AC184" s="819"/>
      <c r="AD184" s="819"/>
      <c r="AE184" s="819"/>
      <c r="AF184" s="819"/>
      <c r="AG184" s="819"/>
      <c r="AH184" s="819"/>
      <c r="AI184" s="819"/>
      <c r="AJ184" s="819"/>
      <c r="AK184" s="819"/>
      <c r="AL184" s="819"/>
      <c r="AM184" s="819"/>
      <c r="AN184" s="819"/>
      <c r="AO184" s="819"/>
      <c r="AP184" s="819"/>
      <c r="AQ184" s="819"/>
      <c r="AR184" s="819"/>
      <c r="AS184" s="819"/>
      <c r="AT184" s="819"/>
      <c r="AU184" s="819"/>
      <c r="AV184" s="819"/>
      <c r="AW184" s="820"/>
      <c r="AX184" s="819"/>
      <c r="AY184" s="819"/>
      <c r="AZ184" s="819"/>
      <c r="BA184" s="819"/>
      <c r="BB184" s="820"/>
      <c r="BC184" s="819"/>
      <c r="BD184" s="819"/>
      <c r="BE184" s="819"/>
      <c r="BF184" s="819"/>
      <c r="BG184" s="819"/>
      <c r="BH184" s="819"/>
      <c r="BI184" s="819"/>
      <c r="BJ184" s="819"/>
      <c r="BK184" s="819"/>
      <c r="BL184" s="819"/>
      <c r="BM184" s="819"/>
      <c r="BN184" s="819"/>
      <c r="BO184" s="819"/>
      <c r="BP184" s="819"/>
      <c r="BQ184" s="819"/>
      <c r="BR184" s="819"/>
      <c r="BS184" s="819"/>
      <c r="BT184" s="819"/>
      <c r="BU184" s="819"/>
      <c r="BV184" s="819"/>
    </row>
    <row r="185" spans="1:74" x14ac:dyDescent="0.4">
      <c r="B185" s="833"/>
      <c r="C185" s="867" t="s">
        <v>44</v>
      </c>
      <c r="D185" s="884"/>
      <c r="E185" s="41" t="str">
        <f>$E$5</f>
        <v>Söguleg losun</v>
      </c>
      <c r="F185" s="623"/>
      <c r="G185" s="41" t="s">
        <v>330</v>
      </c>
      <c r="H185" s="623"/>
      <c r="I185" s="4"/>
      <c r="J185" s="5" t="s">
        <v>44</v>
      </c>
      <c r="K185" s="6"/>
      <c r="L185" s="7"/>
      <c r="M185" s="8"/>
      <c r="N185" s="6"/>
      <c r="O185" s="6"/>
      <c r="P185" s="6"/>
      <c r="Q185" s="6"/>
      <c r="R185" s="6"/>
      <c r="S185" s="6"/>
      <c r="T185" s="6"/>
      <c r="U185" s="6"/>
      <c r="V185" s="6"/>
      <c r="W185" s="6"/>
      <c r="X185" s="1074"/>
      <c r="Y185" s="6"/>
      <c r="Z185" s="6"/>
      <c r="AA185" s="6"/>
      <c r="AB185" s="6"/>
      <c r="AC185" s="6"/>
      <c r="AD185" s="6"/>
      <c r="AE185" s="6"/>
      <c r="AF185" s="6"/>
      <c r="AG185" s="6"/>
      <c r="AH185" s="6"/>
      <c r="AI185" s="6"/>
      <c r="AJ185" s="6"/>
      <c r="AK185" s="6"/>
      <c r="AL185" s="6"/>
      <c r="AM185" s="6"/>
      <c r="AN185" s="6"/>
      <c r="AO185" s="6"/>
      <c r="AP185" s="6"/>
      <c r="AQ185" s="6"/>
      <c r="AR185" s="6"/>
      <c r="AS185" s="6"/>
      <c r="AT185" s="9"/>
      <c r="AU185" s="9"/>
      <c r="AV185" s="9"/>
      <c r="AW185" s="688"/>
      <c r="AX185" s="9"/>
      <c r="AY185" s="9"/>
      <c r="AZ185" s="9"/>
      <c r="BA185" s="9"/>
      <c r="BB185" s="790"/>
      <c r="BC185" s="9"/>
      <c r="BD185" s="9"/>
      <c r="BE185" s="9"/>
      <c r="BF185" s="9"/>
      <c r="BG185" s="9"/>
      <c r="BH185" s="9"/>
      <c r="BI185" s="9"/>
      <c r="BJ185" s="9"/>
      <c r="BK185" s="9"/>
      <c r="BL185" s="9"/>
      <c r="BM185" s="9"/>
      <c r="BN185" s="9"/>
      <c r="BO185" s="9"/>
      <c r="BP185" s="9"/>
      <c r="BQ185" s="9"/>
      <c r="BR185" s="9"/>
      <c r="BS185" s="9"/>
      <c r="BT185" s="9"/>
      <c r="BU185" s="9"/>
      <c r="BV185" s="9"/>
    </row>
    <row r="186" spans="1:74" s="68" customFormat="1" ht="30" x14ac:dyDescent="0.4">
      <c r="A186" s="859"/>
      <c r="B186" s="842" t="s">
        <v>58</v>
      </c>
      <c r="C186" s="867" t="s">
        <v>44</v>
      </c>
      <c r="D186" s="890"/>
      <c r="E186" s="11" t="s">
        <v>17</v>
      </c>
      <c r="F186" s="1042" t="s">
        <v>451</v>
      </c>
      <c r="G186" s="10" t="s">
        <v>161</v>
      </c>
      <c r="H186" s="1042" t="s">
        <v>455</v>
      </c>
      <c r="I186" s="11">
        <v>340.0951414142516</v>
      </c>
      <c r="J186" s="11">
        <v>329.23219226835687</v>
      </c>
      <c r="K186" s="11">
        <v>316.52137411949366</v>
      </c>
      <c r="L186" s="11">
        <v>316.12254831115189</v>
      </c>
      <c r="M186" s="11">
        <v>317.61104119207045</v>
      </c>
      <c r="N186" s="11">
        <v>304.00768951985083</v>
      </c>
      <c r="O186" s="11">
        <v>307.9102648582259</v>
      </c>
      <c r="P186" s="11">
        <v>309.57789420531196</v>
      </c>
      <c r="Q186" s="11">
        <v>316.7605305305471</v>
      </c>
      <c r="R186" s="11">
        <v>313.22873620641008</v>
      </c>
      <c r="S186" s="11">
        <v>301.43278383203517</v>
      </c>
      <c r="T186" s="11">
        <v>301.62681303460312</v>
      </c>
      <c r="U186" s="11">
        <v>295.54976058145138</v>
      </c>
      <c r="V186" s="11">
        <v>291.25303318596116</v>
      </c>
      <c r="W186" s="11">
        <v>286.36545367149574</v>
      </c>
      <c r="X186" s="704">
        <v>288.56904262938701</v>
      </c>
      <c r="Y186" s="11">
        <v>294.89790185975875</v>
      </c>
      <c r="Z186" s="11">
        <v>300.72800757743357</v>
      </c>
      <c r="AA186" s="11">
        <v>305.00982002459659</v>
      </c>
      <c r="AB186" s="11">
        <v>310.69632580922786</v>
      </c>
      <c r="AC186" s="11">
        <v>310.67626477176231</v>
      </c>
      <c r="AD186" s="11">
        <v>309.74809412664018</v>
      </c>
      <c r="AE186" s="11">
        <v>303.00775094734018</v>
      </c>
      <c r="AF186" s="11">
        <v>297.60667668927505</v>
      </c>
      <c r="AG186" s="11">
        <v>315.29480159688217</v>
      </c>
      <c r="AH186" s="11">
        <v>318.85201964706567</v>
      </c>
      <c r="AI186" s="11">
        <v>321.38839585277606</v>
      </c>
      <c r="AJ186" s="11">
        <v>314.99843188869528</v>
      </c>
      <c r="AK186" s="11">
        <v>306.67415616531116</v>
      </c>
      <c r="AL186" s="11">
        <v>298.08974747020113</v>
      </c>
      <c r="AM186" s="11">
        <v>293.24833015474212</v>
      </c>
      <c r="AN186" s="11">
        <v>292.25882919291411</v>
      </c>
      <c r="AO186" s="11">
        <v>288.48563655751946</v>
      </c>
      <c r="AP186" s="11">
        <v>282.2779319598763</v>
      </c>
      <c r="AQ186" s="11">
        <v>277.10840213138715</v>
      </c>
      <c r="AR186" s="11">
        <v>274.48720815422439</v>
      </c>
      <c r="AS186" s="12"/>
      <c r="AT186" s="12"/>
      <c r="AU186" s="12"/>
      <c r="AV186" s="12"/>
      <c r="AW186" s="689"/>
      <c r="AX186" s="12"/>
      <c r="AY186" s="12"/>
      <c r="AZ186" s="12"/>
      <c r="BA186" s="12"/>
      <c r="BB186" s="791"/>
      <c r="BC186" s="12"/>
      <c r="BD186" s="12"/>
      <c r="BE186" s="12"/>
      <c r="BF186" s="12"/>
      <c r="BG186" s="12"/>
      <c r="BH186" s="12"/>
      <c r="BI186" s="12"/>
      <c r="BJ186" s="12"/>
      <c r="BK186" s="12"/>
      <c r="BL186" s="12"/>
      <c r="BM186" s="12"/>
      <c r="BN186" s="12"/>
      <c r="BO186" s="12"/>
      <c r="BP186" s="12"/>
      <c r="BQ186" s="12"/>
      <c r="BR186" s="12"/>
      <c r="BS186" s="12"/>
      <c r="BT186" s="12"/>
      <c r="BU186" s="12"/>
      <c r="BV186" s="12"/>
    </row>
    <row r="187" spans="1:74" s="68" customFormat="1" ht="45" x14ac:dyDescent="0.4">
      <c r="A187" s="859"/>
      <c r="B187" s="842" t="s">
        <v>59</v>
      </c>
      <c r="C187" s="867" t="s">
        <v>44</v>
      </c>
      <c r="D187" s="890"/>
      <c r="E187" s="11" t="s">
        <v>18</v>
      </c>
      <c r="F187" s="1042" t="s">
        <v>452</v>
      </c>
      <c r="G187" s="10" t="s">
        <v>162</v>
      </c>
      <c r="H187" s="1042" t="s">
        <v>456</v>
      </c>
      <c r="I187" s="11">
        <v>99.042539674427275</v>
      </c>
      <c r="J187" s="11">
        <v>95.99548057757508</v>
      </c>
      <c r="K187" s="11">
        <v>90.187405902279522</v>
      </c>
      <c r="L187" s="11">
        <v>90.184435602877443</v>
      </c>
      <c r="M187" s="11">
        <v>89.802125914023051</v>
      </c>
      <c r="N187" s="11">
        <v>87.266039669600858</v>
      </c>
      <c r="O187" s="11">
        <v>88.681609072303189</v>
      </c>
      <c r="P187" s="11">
        <v>88.411188286096561</v>
      </c>
      <c r="Q187" s="11">
        <v>90.670832710121758</v>
      </c>
      <c r="R187" s="11">
        <v>88.303042978408186</v>
      </c>
      <c r="S187" s="11">
        <v>86.781830377531065</v>
      </c>
      <c r="T187" s="11">
        <v>87.552169909046427</v>
      </c>
      <c r="U187" s="11">
        <v>84.887976061771568</v>
      </c>
      <c r="V187" s="11">
        <v>82.601481545097471</v>
      </c>
      <c r="W187" s="11">
        <v>81.521363776930826</v>
      </c>
      <c r="X187" s="704">
        <v>82.173414689539982</v>
      </c>
      <c r="Y187" s="11">
        <v>86.808949572980453</v>
      </c>
      <c r="Z187" s="11">
        <v>89.071783547176267</v>
      </c>
      <c r="AA187" s="11">
        <v>89.731915663650611</v>
      </c>
      <c r="AB187" s="11">
        <v>90.364836632599534</v>
      </c>
      <c r="AC187" s="11">
        <v>87.851679181688141</v>
      </c>
      <c r="AD187" s="11">
        <v>88.437643153049223</v>
      </c>
      <c r="AE187" s="11">
        <v>83.531458302695597</v>
      </c>
      <c r="AF187" s="11">
        <v>82.967067080774825</v>
      </c>
      <c r="AG187" s="11">
        <v>87.865227901054794</v>
      </c>
      <c r="AH187" s="11">
        <v>90.093388205520483</v>
      </c>
      <c r="AI187" s="11">
        <v>89.800667335567056</v>
      </c>
      <c r="AJ187" s="11">
        <v>88.419854016744651</v>
      </c>
      <c r="AK187" s="11">
        <v>84.849620021633697</v>
      </c>
      <c r="AL187" s="11">
        <v>82.989135200518248</v>
      </c>
      <c r="AM187" s="11">
        <v>81.612876816723571</v>
      </c>
      <c r="AN187" s="11">
        <v>82.391870289377806</v>
      </c>
      <c r="AO187" s="11">
        <v>83.107713197325779</v>
      </c>
      <c r="AP187" s="11">
        <v>79.344086460116102</v>
      </c>
      <c r="AQ187" s="11">
        <v>77.450453634573336</v>
      </c>
      <c r="AR187" s="11">
        <v>76.630003384615506</v>
      </c>
      <c r="AS187" s="12"/>
      <c r="AT187" s="12"/>
      <c r="AU187" s="12"/>
      <c r="AV187" s="12"/>
      <c r="AW187" s="689"/>
      <c r="AX187" s="12"/>
      <c r="AY187" s="12"/>
      <c r="AZ187" s="12"/>
      <c r="BA187" s="12"/>
      <c r="BB187" s="791"/>
      <c r="BC187" s="12"/>
      <c r="BD187" s="12"/>
      <c r="BE187" s="12"/>
      <c r="BF187" s="12"/>
      <c r="BG187" s="12"/>
      <c r="BH187" s="12"/>
      <c r="BI187" s="12"/>
      <c r="BJ187" s="12"/>
      <c r="BK187" s="12"/>
      <c r="BL187" s="12"/>
      <c r="BM187" s="12"/>
      <c r="BN187" s="12"/>
      <c r="BO187" s="12"/>
      <c r="BP187" s="12"/>
      <c r="BQ187" s="12"/>
      <c r="BR187" s="12"/>
      <c r="BS187" s="12"/>
      <c r="BT187" s="12"/>
      <c r="BU187" s="12"/>
      <c r="BV187" s="12"/>
    </row>
    <row r="188" spans="1:74" s="68" customFormat="1" ht="105" x14ac:dyDescent="0.4">
      <c r="A188" s="859"/>
      <c r="B188" s="842" t="s">
        <v>60</v>
      </c>
      <c r="C188" s="867" t="s">
        <v>44</v>
      </c>
      <c r="D188" s="890"/>
      <c r="E188" s="11" t="s">
        <v>19</v>
      </c>
      <c r="F188" s="1042" t="s">
        <v>453</v>
      </c>
      <c r="G188" s="10" t="s">
        <v>163</v>
      </c>
      <c r="H188" s="1042" t="s">
        <v>454</v>
      </c>
      <c r="I188" s="11">
        <v>282.61004688816683</v>
      </c>
      <c r="J188" s="11">
        <v>286.78769026613429</v>
      </c>
      <c r="K188" s="11">
        <v>282.49511338623336</v>
      </c>
      <c r="L188" s="11">
        <v>288.03409813160374</v>
      </c>
      <c r="M188" s="11">
        <v>295.67949075728171</v>
      </c>
      <c r="N188" s="11">
        <v>293.62673448829975</v>
      </c>
      <c r="O188" s="11">
        <v>302.78173067433636</v>
      </c>
      <c r="P188" s="11">
        <v>302.12044713793568</v>
      </c>
      <c r="Q188" s="11">
        <v>307.90074325301384</v>
      </c>
      <c r="R188" s="11">
        <v>313.37406665555295</v>
      </c>
      <c r="S188" s="11">
        <v>312.94385253277682</v>
      </c>
      <c r="T188" s="11">
        <v>312.13214038187425</v>
      </c>
      <c r="U188" s="11">
        <v>306.2647928894902</v>
      </c>
      <c r="V188" s="11">
        <v>304.47199756664037</v>
      </c>
      <c r="W188" s="11">
        <v>308.54031448564058</v>
      </c>
      <c r="X188" s="704">
        <v>311.01008344425361</v>
      </c>
      <c r="Y188" s="11">
        <v>327.14777745016033</v>
      </c>
      <c r="Z188" s="11">
        <v>337.10201858186997</v>
      </c>
      <c r="AA188" s="11">
        <v>345.98688862796848</v>
      </c>
      <c r="AB188" s="11">
        <v>327.79016863873721</v>
      </c>
      <c r="AC188" s="11">
        <v>319.9300777787256</v>
      </c>
      <c r="AD188" s="11">
        <v>317.36160584556279</v>
      </c>
      <c r="AE188" s="11">
        <v>322.95021395450891</v>
      </c>
      <c r="AF188" s="11">
        <v>320.19658436724899</v>
      </c>
      <c r="AG188" s="11">
        <v>337.17282913803507</v>
      </c>
      <c r="AH188" s="11">
        <v>321.92666698992264</v>
      </c>
      <c r="AI188" s="11">
        <v>316.75932686817271</v>
      </c>
      <c r="AJ188" s="11">
        <v>327.26824273951001</v>
      </c>
      <c r="AK188" s="11">
        <v>316.18697743651478</v>
      </c>
      <c r="AL188" s="11">
        <v>308.13357876516858</v>
      </c>
      <c r="AM188" s="11">
        <v>312.11142522602944</v>
      </c>
      <c r="AN188" s="11">
        <v>316.6698481644712</v>
      </c>
      <c r="AO188" s="11">
        <v>312.42053391179383</v>
      </c>
      <c r="AP188" s="11">
        <v>297.76777319732946</v>
      </c>
      <c r="AQ188" s="11">
        <v>308.5244643978927</v>
      </c>
      <c r="AR188" s="11">
        <v>309.7570133313846</v>
      </c>
      <c r="AS188" s="12"/>
      <c r="AT188" s="12"/>
      <c r="AU188" s="12"/>
      <c r="AV188" s="12"/>
      <c r="AW188" s="689"/>
      <c r="AX188" s="12"/>
      <c r="AY188" s="12"/>
      <c r="AZ188" s="12"/>
      <c r="BA188" s="12"/>
      <c r="BB188" s="791"/>
      <c r="BC188" s="12"/>
      <c r="BD188" s="12"/>
      <c r="BE188" s="12"/>
      <c r="BF188" s="12"/>
      <c r="BG188" s="12"/>
      <c r="BH188" s="12"/>
      <c r="BI188" s="12"/>
      <c r="BJ188" s="12"/>
      <c r="BK188" s="12"/>
      <c r="BL188" s="12"/>
      <c r="BM188" s="12"/>
      <c r="BN188" s="12"/>
      <c r="BO188" s="12"/>
      <c r="BP188" s="12"/>
      <c r="BQ188" s="12"/>
      <c r="BR188" s="12"/>
      <c r="BS188" s="12"/>
      <c r="BT188" s="12"/>
      <c r="BU188" s="12"/>
      <c r="BV188" s="12"/>
    </row>
    <row r="189" spans="1:74" s="68" customFormat="1" ht="90" x14ac:dyDescent="0.4">
      <c r="A189" s="859"/>
      <c r="B189" s="842" t="s">
        <v>90</v>
      </c>
      <c r="C189" s="867" t="s">
        <v>44</v>
      </c>
      <c r="D189" s="890"/>
      <c r="E189" s="11" t="s">
        <v>207</v>
      </c>
      <c r="F189" s="1042" t="s">
        <v>463</v>
      </c>
      <c r="G189" s="10" t="s">
        <v>208</v>
      </c>
      <c r="H189" s="1042" t="s">
        <v>464</v>
      </c>
      <c r="I189" s="1043">
        <f>SUM(I190:I192)</f>
        <v>2.3099999999999999E-2</v>
      </c>
      <c r="J189" s="1043">
        <f t="shared" ref="J189:AP189" si="73">SUM(J190:J192)</f>
        <v>9.2492400000000006E-3</v>
      </c>
      <c r="K189" s="1044">
        <f t="shared" si="73"/>
        <v>3.2451320000000006E-2</v>
      </c>
      <c r="L189" s="1044">
        <f t="shared" si="73"/>
        <v>2.2004839999999998E-2</v>
      </c>
      <c r="M189" s="1043">
        <f t="shared" si="73"/>
        <v>8.7999999999999988E-3</v>
      </c>
      <c r="N189" s="87">
        <f t="shared" si="73"/>
        <v>2.4369458069135801</v>
      </c>
      <c r="O189" s="87">
        <f t="shared" si="73"/>
        <v>2.6508298965432116</v>
      </c>
      <c r="P189" s="87">
        <f t="shared" si="73"/>
        <v>2.5593616019753092</v>
      </c>
      <c r="Q189" s="87">
        <f t="shared" si="73"/>
        <v>2.5464230488888897</v>
      </c>
      <c r="R189" s="87">
        <f t="shared" si="73"/>
        <v>2.7616834585185188</v>
      </c>
      <c r="S189" s="87">
        <f t="shared" si="73"/>
        <v>2.7621307511111111</v>
      </c>
      <c r="T189" s="87">
        <f t="shared" si="73"/>
        <v>2.6959684128395072</v>
      </c>
      <c r="U189" s="87">
        <f t="shared" si="73"/>
        <v>2.4154087303703711</v>
      </c>
      <c r="V189" s="87">
        <f t="shared" si="73"/>
        <v>4.6716002340740737</v>
      </c>
      <c r="W189" s="87">
        <f t="shared" si="73"/>
        <v>4.779621988641976</v>
      </c>
      <c r="X189" s="707">
        <f t="shared" si="73"/>
        <v>4.5326526558024689</v>
      </c>
      <c r="Y189" s="87">
        <f t="shared" si="73"/>
        <v>4.4245318740740744</v>
      </c>
      <c r="Z189" s="87">
        <f t="shared" si="73"/>
        <v>4.0608959424240698</v>
      </c>
      <c r="AA189" s="87">
        <f t="shared" si="73"/>
        <v>7.018974987308642</v>
      </c>
      <c r="AB189" s="87">
        <f t="shared" si="73"/>
        <v>5.7231211653054324</v>
      </c>
      <c r="AC189" s="87">
        <f t="shared" si="73"/>
        <v>3.92474002307282</v>
      </c>
      <c r="AD189" s="87">
        <f t="shared" si="73"/>
        <v>3.8608395277046625</v>
      </c>
      <c r="AE189" s="87">
        <f t="shared" si="73"/>
        <v>4.3461636798697336</v>
      </c>
      <c r="AF189" s="87">
        <f t="shared" si="73"/>
        <v>4.2496171206617328</v>
      </c>
      <c r="AG189" s="87">
        <f t="shared" si="73"/>
        <v>3.8235346704818998</v>
      </c>
      <c r="AH189" s="87">
        <f t="shared" si="73"/>
        <v>3.1911460904602396</v>
      </c>
      <c r="AI189" s="87">
        <f t="shared" si="73"/>
        <v>3.5947477408061999</v>
      </c>
      <c r="AJ189" s="87">
        <f t="shared" si="73"/>
        <v>4.3042845621201256</v>
      </c>
      <c r="AK189" s="87">
        <f t="shared" si="73"/>
        <v>4.3779642122447004</v>
      </c>
      <c r="AL189" s="87">
        <f t="shared" si="73"/>
        <v>7.7702475984696928</v>
      </c>
      <c r="AM189" s="87">
        <f t="shared" si="73"/>
        <v>6.9914440884264533</v>
      </c>
      <c r="AN189" s="87">
        <f t="shared" si="73"/>
        <v>6.8296036834116673</v>
      </c>
      <c r="AO189" s="87">
        <f t="shared" si="73"/>
        <v>6.020919970958734</v>
      </c>
      <c r="AP189" s="87">
        <f t="shared" si="73"/>
        <v>8.0763127900833513</v>
      </c>
      <c r="AQ189" s="87">
        <f t="shared" ref="AQ189:AR189" si="74">SUM(AQ190:AQ192)</f>
        <v>5.6750943749915432</v>
      </c>
      <c r="AR189" s="87">
        <f t="shared" si="74"/>
        <v>7.4662023749915436</v>
      </c>
      <c r="AS189" s="12"/>
      <c r="AT189" s="12"/>
      <c r="AU189" s="12"/>
      <c r="AV189" s="12"/>
      <c r="AW189" s="689"/>
      <c r="AX189" s="12"/>
      <c r="AY189" s="12"/>
      <c r="AZ189" s="12"/>
      <c r="BA189" s="12"/>
      <c r="BB189" s="791"/>
      <c r="BC189" s="12"/>
      <c r="BD189" s="12"/>
      <c r="BE189" s="12"/>
      <c r="BF189" s="12"/>
      <c r="BG189" s="12"/>
      <c r="BH189" s="12"/>
      <c r="BI189" s="12"/>
      <c r="BJ189" s="12"/>
      <c r="BK189" s="12"/>
      <c r="BL189" s="12"/>
      <c r="BM189" s="12"/>
      <c r="BN189" s="12"/>
      <c r="BO189" s="12"/>
      <c r="BP189" s="12"/>
      <c r="BQ189" s="12"/>
      <c r="BR189" s="12"/>
      <c r="BS189" s="12"/>
      <c r="BT189" s="12"/>
      <c r="BU189" s="12"/>
      <c r="BV189" s="12"/>
    </row>
    <row r="190" spans="1:74" s="430" customFormat="1" ht="18" customHeight="1" x14ac:dyDescent="0.4">
      <c r="A190" s="1045"/>
      <c r="B190" s="842" t="s">
        <v>61</v>
      </c>
      <c r="C190" s="875" t="s">
        <v>44</v>
      </c>
      <c r="D190" s="883"/>
      <c r="E190" s="31" t="s">
        <v>100</v>
      </c>
      <c r="F190" s="1046"/>
      <c r="G190" s="39" t="s">
        <v>124</v>
      </c>
      <c r="H190" s="1046"/>
      <c r="I190" s="1047">
        <v>2.3099999999999999E-2</v>
      </c>
      <c r="J190" s="1047">
        <v>9.2492400000000006E-3</v>
      </c>
      <c r="K190" s="1047">
        <v>3.2451320000000006E-2</v>
      </c>
      <c r="L190" s="1047">
        <v>2.2004839999999998E-2</v>
      </c>
      <c r="M190" s="1047">
        <v>8.7999999999999988E-3</v>
      </c>
      <c r="N190" s="1047">
        <v>3.0799999999999997E-6</v>
      </c>
      <c r="O190" s="1047">
        <v>1.7356020000000714E-2</v>
      </c>
      <c r="P190" s="1047">
        <v>3.4708959999999997E-2</v>
      </c>
      <c r="Q190" s="1047">
        <v>6.1599999999999995E-6</v>
      </c>
      <c r="R190" s="1047">
        <v>1.1063800000000992E-3</v>
      </c>
      <c r="S190" s="1047">
        <v>2.2065999999999995E-3</v>
      </c>
      <c r="T190" s="1047">
        <v>1.11936E-3</v>
      </c>
      <c r="U190" s="1047">
        <v>2.8419599999999993E-3</v>
      </c>
      <c r="V190" s="1047">
        <v>2.4203065333333327</v>
      </c>
      <c r="W190" s="1047">
        <v>2.6251791866666663</v>
      </c>
      <c r="X190" s="1112">
        <v>2.4051975199999998</v>
      </c>
      <c r="Y190" s="1047">
        <v>1.73838852</v>
      </c>
      <c r="Z190" s="1047">
        <v>1.0369714762512297</v>
      </c>
      <c r="AA190" s="1047">
        <v>3.6735925942222227</v>
      </c>
      <c r="AB190" s="1047">
        <v>3.0739770309844445</v>
      </c>
      <c r="AC190" s="1047">
        <v>1.8583262646666665</v>
      </c>
      <c r="AD190" s="1047">
        <v>1.9271194561666667</v>
      </c>
      <c r="AE190" s="1047">
        <v>1.7916920999999999</v>
      </c>
      <c r="AF190" s="1047">
        <v>1.8863734999999999</v>
      </c>
      <c r="AG190" s="1047">
        <v>1.6110500266666667</v>
      </c>
      <c r="AH190" s="1047">
        <v>1.3485655333333331</v>
      </c>
      <c r="AI190" s="1047">
        <v>1.2491211333333334</v>
      </c>
      <c r="AJ190" s="1047">
        <v>1.5897757333333333</v>
      </c>
      <c r="AK190" s="1047">
        <v>1.7315657333333334</v>
      </c>
      <c r="AL190" s="1047">
        <v>2.2879114133333331</v>
      </c>
      <c r="AM190" s="1047">
        <v>3.5963399999999996</v>
      </c>
      <c r="AN190" s="1047">
        <v>3.5400694266666668</v>
      </c>
      <c r="AO190" s="1047">
        <v>2.8859085200000001</v>
      </c>
      <c r="AP190" s="1047">
        <v>4.9082017233333328</v>
      </c>
      <c r="AQ190" s="1047">
        <v>2.5082184233333336</v>
      </c>
      <c r="AR190" s="1047">
        <v>4.2993264233333335</v>
      </c>
      <c r="AS190" s="12"/>
      <c r="AT190" s="12"/>
      <c r="AU190" s="12"/>
      <c r="AV190" s="12"/>
      <c r="AW190" s="689"/>
      <c r="AX190" s="12"/>
      <c r="AY190" s="12"/>
      <c r="AZ190" s="12"/>
      <c r="BA190" s="12"/>
      <c r="BB190" s="791"/>
      <c r="BC190" s="12"/>
      <c r="BD190" s="12"/>
      <c r="BE190" s="12"/>
      <c r="BF190" s="12"/>
      <c r="BG190" s="12"/>
      <c r="BH190" s="12"/>
      <c r="BI190" s="12"/>
      <c r="BJ190" s="12"/>
      <c r="BK190" s="12"/>
      <c r="BL190" s="12"/>
      <c r="BM190" s="12"/>
      <c r="BN190" s="12"/>
      <c r="BO190" s="12"/>
      <c r="BP190" s="12"/>
      <c r="BQ190" s="12"/>
      <c r="BR190" s="12"/>
      <c r="BS190" s="12"/>
      <c r="BT190" s="12"/>
      <c r="BU190" s="12"/>
      <c r="BV190" s="12"/>
    </row>
    <row r="191" spans="1:74" s="430" customFormat="1" ht="18" customHeight="1" x14ac:dyDescent="0.4">
      <c r="A191" s="1045"/>
      <c r="B191" s="842" t="s">
        <v>76</v>
      </c>
      <c r="C191" s="875" t="s">
        <v>44</v>
      </c>
      <c r="D191" s="883"/>
      <c r="E191" s="31" t="s">
        <v>99</v>
      </c>
      <c r="F191" s="1046"/>
      <c r="G191" s="39" t="s">
        <v>125</v>
      </c>
      <c r="H191" s="1046"/>
      <c r="I191" s="1047">
        <v>0</v>
      </c>
      <c r="J191" s="1047">
        <v>0</v>
      </c>
      <c r="K191" s="1047">
        <v>0</v>
      </c>
      <c r="L191" s="1047">
        <v>0</v>
      </c>
      <c r="M191" s="1047">
        <v>0</v>
      </c>
      <c r="N191" s="1047">
        <v>0</v>
      </c>
      <c r="O191" s="1047">
        <v>0</v>
      </c>
      <c r="P191" s="1047">
        <v>0</v>
      </c>
      <c r="Q191" s="1047">
        <v>0</v>
      </c>
      <c r="R191" s="1047">
        <v>0</v>
      </c>
      <c r="S191" s="1047">
        <v>0</v>
      </c>
      <c r="T191" s="1047">
        <v>0</v>
      </c>
      <c r="U191" s="1047">
        <v>0</v>
      </c>
      <c r="V191" s="1047">
        <v>0</v>
      </c>
      <c r="W191" s="1047">
        <v>0</v>
      </c>
      <c r="X191" s="1112">
        <v>0</v>
      </c>
      <c r="Y191" s="1047">
        <v>0</v>
      </c>
      <c r="Z191" s="1047">
        <v>0</v>
      </c>
      <c r="AA191" s="1047">
        <v>0</v>
      </c>
      <c r="AB191" s="1047">
        <v>0</v>
      </c>
      <c r="AC191" s="1047">
        <v>0</v>
      </c>
      <c r="AD191" s="1047">
        <v>0</v>
      </c>
      <c r="AE191" s="1047">
        <v>0</v>
      </c>
      <c r="AF191" s="1047">
        <v>0</v>
      </c>
      <c r="AG191" s="1047">
        <v>6.6E-3</v>
      </c>
      <c r="AH191" s="1047">
        <v>6.6E-3</v>
      </c>
      <c r="AI191" s="1047">
        <v>0.3888133333333334</v>
      </c>
      <c r="AJ191" s="1047">
        <v>0.67158666666666655</v>
      </c>
      <c r="AK191" s="1047">
        <v>0.80886666666666673</v>
      </c>
      <c r="AL191" s="1047">
        <v>3.153839333333333</v>
      </c>
      <c r="AM191" s="1047">
        <v>1.574265</v>
      </c>
      <c r="AN191" s="1047">
        <v>1.3679600000000001</v>
      </c>
      <c r="AO191" s="1047">
        <v>1.6002799999999999</v>
      </c>
      <c r="AP191" s="1047">
        <v>1.8259450000000002</v>
      </c>
      <c r="AQ191" s="1047">
        <v>2.0180196666666665</v>
      </c>
      <c r="AR191" s="1047">
        <v>2.0180196666666665</v>
      </c>
      <c r="AS191" s="12"/>
      <c r="AT191" s="12"/>
      <c r="AU191" s="12"/>
      <c r="AV191" s="12"/>
      <c r="AW191" s="689"/>
      <c r="AX191" s="12"/>
      <c r="AY191" s="12"/>
      <c r="AZ191" s="12"/>
      <c r="BA191" s="12"/>
      <c r="BB191" s="791"/>
      <c r="BC191" s="12"/>
      <c r="BD191" s="12"/>
      <c r="BE191" s="12"/>
      <c r="BF191" s="12"/>
      <c r="BG191" s="12"/>
      <c r="BH191" s="12"/>
      <c r="BI191" s="12"/>
      <c r="BJ191" s="12"/>
      <c r="BK191" s="12"/>
      <c r="BL191" s="12"/>
      <c r="BM191" s="12"/>
      <c r="BN191" s="12"/>
      <c r="BO191" s="12"/>
      <c r="BP191" s="12"/>
      <c r="BQ191" s="12"/>
      <c r="BR191" s="12"/>
      <c r="BS191" s="12"/>
      <c r="BT191" s="12"/>
      <c r="BU191" s="12"/>
      <c r="BV191" s="12"/>
    </row>
    <row r="192" spans="1:74" s="430" customFormat="1" ht="18" customHeight="1" x14ac:dyDescent="0.4">
      <c r="A192" s="1045"/>
      <c r="B192" s="842" t="s">
        <v>77</v>
      </c>
      <c r="C192" s="875" t="s">
        <v>44</v>
      </c>
      <c r="D192" s="883"/>
      <c r="E192" s="31" t="s">
        <v>101</v>
      </c>
      <c r="F192" s="1046"/>
      <c r="G192" s="39" t="s">
        <v>126</v>
      </c>
      <c r="H192" s="1046"/>
      <c r="I192" s="1047">
        <v>0</v>
      </c>
      <c r="J192" s="1047">
        <v>0</v>
      </c>
      <c r="K192" s="1047">
        <v>0</v>
      </c>
      <c r="L192" s="1047">
        <v>0</v>
      </c>
      <c r="M192" s="1047">
        <v>0</v>
      </c>
      <c r="N192" s="1047">
        <v>2.4369427269135802</v>
      </c>
      <c r="O192" s="1047">
        <v>2.6334738765432109</v>
      </c>
      <c r="P192" s="1047">
        <v>2.524652641975309</v>
      </c>
      <c r="Q192" s="1047">
        <v>2.5464168888888898</v>
      </c>
      <c r="R192" s="1047">
        <v>2.7605770785185189</v>
      </c>
      <c r="S192" s="1047">
        <v>2.759924151111111</v>
      </c>
      <c r="T192" s="1047">
        <v>2.694849052839507</v>
      </c>
      <c r="U192" s="1047">
        <v>2.412566770370371</v>
      </c>
      <c r="V192" s="1047">
        <v>2.2512937007407414</v>
      </c>
      <c r="W192" s="1047">
        <v>2.1544428019753092</v>
      </c>
      <c r="X192" s="1112">
        <v>2.1274551358024691</v>
      </c>
      <c r="Y192" s="1047">
        <v>2.6861433540740745</v>
      </c>
      <c r="Z192" s="1047">
        <v>3.0239244661728399</v>
      </c>
      <c r="AA192" s="1047">
        <v>3.3453823930864197</v>
      </c>
      <c r="AB192" s="1047">
        <v>2.6491441343209883</v>
      </c>
      <c r="AC192" s="1047">
        <v>2.0664137584061533</v>
      </c>
      <c r="AD192" s="1047">
        <v>1.9337200715379959</v>
      </c>
      <c r="AE192" s="1047">
        <v>2.5544715798697335</v>
      </c>
      <c r="AF192" s="1047">
        <v>2.3632436206617329</v>
      </c>
      <c r="AG192" s="1047">
        <v>2.2058846438152333</v>
      </c>
      <c r="AH192" s="1047">
        <v>1.8359805571269066</v>
      </c>
      <c r="AI192" s="1047">
        <v>1.956813274139533</v>
      </c>
      <c r="AJ192" s="1047">
        <v>2.0429221621201252</v>
      </c>
      <c r="AK192" s="1047">
        <v>1.8375318122447</v>
      </c>
      <c r="AL192" s="1047">
        <v>2.3284968518030262</v>
      </c>
      <c r="AM192" s="1047">
        <v>1.8208390884264531</v>
      </c>
      <c r="AN192" s="1047">
        <v>1.9215742567450005</v>
      </c>
      <c r="AO192" s="1047">
        <v>1.5347314509587344</v>
      </c>
      <c r="AP192" s="1047">
        <v>1.3421660667500181</v>
      </c>
      <c r="AQ192" s="1047">
        <v>1.1488562849915438</v>
      </c>
      <c r="AR192" s="1047">
        <v>1.1488562849915438</v>
      </c>
      <c r="AS192" s="12"/>
      <c r="AT192" s="12"/>
      <c r="AU192" s="12"/>
      <c r="AV192" s="12"/>
      <c r="AW192" s="689"/>
      <c r="AX192" s="12"/>
      <c r="AY192" s="12"/>
      <c r="AZ192" s="12"/>
      <c r="BA192" s="12"/>
      <c r="BB192" s="791"/>
      <c r="BC192" s="12"/>
      <c r="BD192" s="12"/>
      <c r="BE192" s="12"/>
      <c r="BF192" s="12"/>
      <c r="BG192" s="12"/>
      <c r="BH192" s="12"/>
      <c r="BI192" s="12"/>
      <c r="BJ192" s="12"/>
      <c r="BK192" s="12"/>
      <c r="BL192" s="12"/>
      <c r="BM192" s="12"/>
      <c r="BN192" s="12"/>
      <c r="BO192" s="12"/>
      <c r="BP192" s="12"/>
      <c r="BQ192" s="12"/>
      <c r="BR192" s="12"/>
      <c r="BS192" s="12"/>
      <c r="BT192" s="12"/>
      <c r="BU192" s="12"/>
      <c r="BV192" s="12"/>
    </row>
    <row r="193" spans="1:74" s="63" customFormat="1" ht="18" customHeight="1" x14ac:dyDescent="0.4">
      <c r="A193" s="861"/>
      <c r="B193" s="842" t="s">
        <v>40</v>
      </c>
      <c r="C193" s="867" t="s">
        <v>44</v>
      </c>
      <c r="D193" s="889"/>
      <c r="E193" s="25" t="s">
        <v>117</v>
      </c>
      <c r="F193" s="1046"/>
      <c r="G193" s="13"/>
      <c r="H193" s="1046"/>
      <c r="I193" s="14">
        <v>721.77082797684568</v>
      </c>
      <c r="J193" s="14">
        <v>712.02461235206624</v>
      </c>
      <c r="K193" s="14">
        <v>689.23634472800643</v>
      </c>
      <c r="L193" s="14">
        <v>694.36308688563315</v>
      </c>
      <c r="M193" s="14">
        <v>703.10145786337523</v>
      </c>
      <c r="N193" s="14">
        <v>687.33740948466505</v>
      </c>
      <c r="O193" s="14">
        <v>702.02443450140868</v>
      </c>
      <c r="P193" s="14">
        <v>702.66889123131955</v>
      </c>
      <c r="Q193" s="14">
        <v>717.87852954257153</v>
      </c>
      <c r="R193" s="14">
        <v>717.6675292988898</v>
      </c>
      <c r="S193" s="14">
        <v>703.92059749345424</v>
      </c>
      <c r="T193" s="14">
        <v>704.00709173836321</v>
      </c>
      <c r="U193" s="14">
        <v>689.11793826308349</v>
      </c>
      <c r="V193" s="14">
        <v>682.99811253177313</v>
      </c>
      <c r="W193" s="14">
        <v>681.20675392270903</v>
      </c>
      <c r="X193" s="691">
        <v>686.28519341898311</v>
      </c>
      <c r="Y193" s="14">
        <v>713.27916075697351</v>
      </c>
      <c r="Z193" s="14">
        <v>730.96270564890381</v>
      </c>
      <c r="AA193" s="14">
        <v>747.74759930352434</v>
      </c>
      <c r="AB193" s="14">
        <v>734.57445224587002</v>
      </c>
      <c r="AC193" s="14">
        <v>722.38276175524891</v>
      </c>
      <c r="AD193" s="14">
        <v>719.40818265295684</v>
      </c>
      <c r="AE193" s="14">
        <v>713.8355868844144</v>
      </c>
      <c r="AF193" s="14">
        <v>705.01994525796056</v>
      </c>
      <c r="AG193" s="14">
        <v>744.15639330645411</v>
      </c>
      <c r="AH193" s="14">
        <v>734.06322093296922</v>
      </c>
      <c r="AI193" s="14">
        <v>731.54313779732206</v>
      </c>
      <c r="AJ193" s="14">
        <v>734.99081320707012</v>
      </c>
      <c r="AK193" s="14">
        <v>712.0887178357043</v>
      </c>
      <c r="AL193" s="14">
        <v>696.98270903435753</v>
      </c>
      <c r="AM193" s="14">
        <v>693.96407628592169</v>
      </c>
      <c r="AN193" s="14">
        <v>698.15015133017482</v>
      </c>
      <c r="AO193" s="14">
        <v>690.03480363759775</v>
      </c>
      <c r="AP193" s="14">
        <v>667.46610440740528</v>
      </c>
      <c r="AQ193" s="14">
        <v>668.7584145388447</v>
      </c>
      <c r="AR193" s="14">
        <v>668.34042724521601</v>
      </c>
      <c r="AS193" s="12"/>
      <c r="AT193" s="12"/>
      <c r="AU193" s="12"/>
      <c r="AV193" s="12"/>
      <c r="AW193" s="689"/>
      <c r="AX193" s="12"/>
      <c r="AY193" s="12"/>
      <c r="AZ193" s="12"/>
      <c r="BA193" s="12"/>
      <c r="BB193" s="791"/>
      <c r="BC193" s="12"/>
      <c r="BD193" s="12"/>
      <c r="BE193" s="12"/>
      <c r="BF193" s="12"/>
      <c r="BG193" s="12"/>
      <c r="BH193" s="12"/>
      <c r="BI193" s="12"/>
      <c r="BJ193" s="12"/>
      <c r="BK193" s="12"/>
      <c r="BL193" s="12"/>
      <c r="BM193" s="12"/>
      <c r="BN193" s="12"/>
      <c r="BO193" s="12"/>
      <c r="BP193" s="12"/>
      <c r="BQ193" s="12"/>
      <c r="BR193" s="12"/>
      <c r="BS193" s="12"/>
      <c r="BT193" s="12"/>
      <c r="BU193" s="12"/>
      <c r="BV193" s="12"/>
    </row>
    <row r="194" spans="1:74" s="63" customFormat="1" x14ac:dyDescent="0.4">
      <c r="A194" s="861"/>
      <c r="B194" s="842"/>
      <c r="C194" s="867"/>
      <c r="D194" s="889"/>
      <c r="E194" s="35"/>
      <c r="F194" s="90"/>
      <c r="G194" s="34"/>
      <c r="H194" s="90"/>
      <c r="I194" s="1048"/>
      <c r="J194" s="1048"/>
      <c r="K194" s="1048"/>
      <c r="L194" s="1048"/>
      <c r="M194" s="1048"/>
      <c r="N194" s="1048"/>
      <c r="O194" s="1048"/>
      <c r="P194" s="1048"/>
      <c r="Q194" s="1048"/>
      <c r="R194" s="1048"/>
      <c r="S194" s="1048"/>
      <c r="T194" s="1048"/>
      <c r="U194" s="35"/>
      <c r="V194" s="35"/>
      <c r="W194" s="35"/>
      <c r="X194" s="82"/>
      <c r="Y194" s="35"/>
      <c r="Z194" s="35"/>
      <c r="AA194" s="35"/>
      <c r="AB194" s="35"/>
      <c r="AC194" s="35"/>
      <c r="AD194" s="35"/>
      <c r="AE194" s="35"/>
      <c r="AF194" s="35"/>
      <c r="AG194" s="35"/>
      <c r="AH194" s="35"/>
      <c r="AI194" s="35"/>
      <c r="AJ194" s="35"/>
      <c r="AK194" s="35"/>
      <c r="AL194" s="35"/>
      <c r="AM194" s="35"/>
      <c r="AN194" s="35"/>
      <c r="AO194" s="35"/>
      <c r="AP194" s="35"/>
      <c r="AQ194" s="35"/>
      <c r="AW194" s="621"/>
      <c r="BB194" s="621"/>
    </row>
    <row r="195" spans="1:74" x14ac:dyDescent="0.4">
      <c r="B195" s="833"/>
      <c r="C195" s="867" t="s">
        <v>44</v>
      </c>
      <c r="D195" s="884"/>
      <c r="E195" s="623" t="str">
        <f>$E$14</f>
        <v>Losunarspá: Sviðsmynd byggð á aðgerðum stjórnvalda</v>
      </c>
      <c r="F195" s="94"/>
      <c r="G195" s="623" t="str">
        <f>$G$14</f>
        <v>Emission Projections: Government Policy-Based Scenario</v>
      </c>
      <c r="H195" s="94"/>
      <c r="I195" s="4"/>
      <c r="J195" s="5" t="s">
        <v>44</v>
      </c>
      <c r="K195" s="6"/>
      <c r="L195" s="7"/>
      <c r="M195" s="8"/>
      <c r="N195" s="6"/>
      <c r="O195" s="6"/>
      <c r="P195" s="6"/>
      <c r="Q195" s="6"/>
      <c r="R195" s="6"/>
      <c r="S195" s="6"/>
      <c r="T195" s="6"/>
      <c r="U195" s="6"/>
      <c r="V195" s="6"/>
      <c r="W195" s="6"/>
      <c r="X195" s="1074"/>
      <c r="Y195" s="6"/>
      <c r="Z195" s="6"/>
      <c r="AA195" s="6"/>
      <c r="AB195" s="6"/>
      <c r="AC195" s="6"/>
      <c r="AD195" s="6"/>
      <c r="AE195" s="6"/>
      <c r="AF195" s="6"/>
      <c r="AG195" s="6"/>
      <c r="AH195" s="6"/>
      <c r="AI195" s="6"/>
      <c r="AJ195" s="6"/>
      <c r="AK195" s="6"/>
      <c r="AL195" s="6"/>
      <c r="AM195" s="6"/>
      <c r="AN195" s="6"/>
      <c r="AO195" s="6"/>
      <c r="AP195" s="6"/>
      <c r="AQ195" s="6"/>
      <c r="AR195" s="6"/>
      <c r="AS195" s="6"/>
      <c r="AT195" s="9"/>
      <c r="AU195" s="9"/>
      <c r="AV195" s="9"/>
      <c r="AW195" s="688"/>
      <c r="AX195" s="9"/>
      <c r="AY195" s="9"/>
      <c r="AZ195" s="9"/>
      <c r="BA195" s="9"/>
      <c r="BB195" s="790"/>
      <c r="BC195" s="9"/>
      <c r="BD195" s="9"/>
      <c r="BE195" s="9"/>
      <c r="BF195" s="9"/>
      <c r="BG195" s="9"/>
      <c r="BH195" s="9"/>
      <c r="BI195" s="9"/>
      <c r="BJ195" s="9"/>
      <c r="BK195" s="9"/>
      <c r="BL195" s="9"/>
      <c r="BM195" s="9"/>
      <c r="BN195" s="9"/>
      <c r="BO195" s="9"/>
      <c r="BP195" s="9"/>
      <c r="BQ195" s="9"/>
      <c r="BR195" s="9"/>
      <c r="BS195" s="9"/>
      <c r="BT195" s="9"/>
      <c r="BU195" s="9"/>
      <c r="BV195" s="9"/>
    </row>
    <row r="196" spans="1:74" s="68" customFormat="1" ht="18" customHeight="1" x14ac:dyDescent="0.4">
      <c r="A196" s="859"/>
      <c r="B196" s="842" t="s">
        <v>58</v>
      </c>
      <c r="C196" s="866" t="str">
        <f t="shared" ref="C196:C202" si="75">B196&amp;" "&amp;D196</f>
        <v>3.A Enteric fermentationkt CO2-eq WEM</v>
      </c>
      <c r="D196" s="891" t="s">
        <v>377</v>
      </c>
      <c r="E196" s="11" t="s">
        <v>17</v>
      </c>
      <c r="F196" s="11" t="str">
        <f>$F$186</f>
        <v>Losun vegna iðragerjunar allra húsdýraflokka</v>
      </c>
      <c r="G196" s="10" t="s">
        <v>161</v>
      </c>
      <c r="H196" s="10" t="str">
        <f>$H$186</f>
        <v>Emissions from enteric fermentation of all livestock categories</v>
      </c>
      <c r="I196" s="12"/>
      <c r="J196" s="12"/>
      <c r="K196" s="12"/>
      <c r="L196" s="12"/>
      <c r="M196" s="12"/>
      <c r="N196" s="12"/>
      <c r="O196" s="12"/>
      <c r="P196" s="12"/>
      <c r="Q196" s="12"/>
      <c r="R196" s="12"/>
      <c r="S196" s="12"/>
      <c r="T196" s="12"/>
      <c r="U196" s="12"/>
      <c r="V196" s="12"/>
      <c r="W196" s="12"/>
      <c r="X196" s="791"/>
      <c r="Y196" s="12"/>
      <c r="Z196" s="12"/>
      <c r="AA196" s="12"/>
      <c r="AB196" s="12"/>
      <c r="AC196" s="12"/>
      <c r="AD196" s="12"/>
      <c r="AE196" s="12"/>
      <c r="AF196" s="12"/>
      <c r="AG196" s="12"/>
      <c r="AH196" s="12"/>
      <c r="AI196" s="12"/>
      <c r="AJ196" s="12"/>
      <c r="AK196" s="12"/>
      <c r="AL196" s="12"/>
      <c r="AM196" s="12"/>
      <c r="AN196" s="12"/>
      <c r="AO196" s="12"/>
      <c r="AP196" s="12"/>
      <c r="AQ196" s="12"/>
      <c r="AR196" s="168">
        <f t="shared" ref="AR196:AR203" si="76">AR186</f>
        <v>274.48720815422439</v>
      </c>
      <c r="AS196" s="23">
        <v>273.9899089258094</v>
      </c>
      <c r="AT196" s="23">
        <v>272.22579390701787</v>
      </c>
      <c r="AU196" s="23">
        <v>270.71133659451556</v>
      </c>
      <c r="AV196" s="23">
        <v>269.59833923297265</v>
      </c>
      <c r="AW196" s="1049">
        <v>268.83912268675675</v>
      </c>
      <c r="AX196" s="23">
        <v>266.71975970816538</v>
      </c>
      <c r="AY196" s="23">
        <v>265.33291273455825</v>
      </c>
      <c r="AZ196" s="23">
        <v>263.47723616879586</v>
      </c>
      <c r="BA196" s="23">
        <v>261.7479368451813</v>
      </c>
      <c r="BB196" s="703">
        <v>259.54971272089989</v>
      </c>
      <c r="BC196" s="23">
        <v>257.34380899160914</v>
      </c>
      <c r="BD196" s="23">
        <v>255.3208048142439</v>
      </c>
      <c r="BE196" s="23">
        <v>253.20963929280435</v>
      </c>
      <c r="BF196" s="23">
        <v>251.19865348749499</v>
      </c>
      <c r="BG196" s="23">
        <v>249.55244624757287</v>
      </c>
      <c r="BH196" s="23">
        <v>247.70860722360584</v>
      </c>
      <c r="BI196" s="23">
        <v>246.09346966844839</v>
      </c>
      <c r="BJ196" s="23">
        <v>244.84591692443766</v>
      </c>
      <c r="BK196" s="23">
        <v>243.92163083807691</v>
      </c>
      <c r="BL196" s="23">
        <v>241.74950117718566</v>
      </c>
      <c r="BM196" s="23">
        <v>240.24811959196663</v>
      </c>
      <c r="BN196" s="23">
        <v>238.31672358180296</v>
      </c>
      <c r="BO196" s="23">
        <v>236.50053284534201</v>
      </c>
      <c r="BP196" s="23">
        <v>234.25505430640658</v>
      </c>
      <c r="BQ196" s="23">
        <v>232.00249595718401</v>
      </c>
      <c r="BR196" s="23">
        <v>229.91691415501327</v>
      </c>
      <c r="BS196" s="23">
        <v>227.75061310864606</v>
      </c>
      <c r="BT196" s="23">
        <v>225.67552912907146</v>
      </c>
      <c r="BU196" s="23">
        <v>223.93270079327181</v>
      </c>
      <c r="BV196" s="23">
        <v>222.00913074895226</v>
      </c>
    </row>
    <row r="197" spans="1:74" s="68" customFormat="1" ht="18" customHeight="1" x14ac:dyDescent="0.4">
      <c r="A197" s="859"/>
      <c r="B197" s="842" t="s">
        <v>59</v>
      </c>
      <c r="C197" s="866" t="str">
        <f t="shared" si="75"/>
        <v>3.B Manure managmentkt CO2-eq WEM</v>
      </c>
      <c r="D197" s="891" t="s">
        <v>377</v>
      </c>
      <c r="E197" s="11" t="s">
        <v>18</v>
      </c>
      <c r="F197" s="11" t="str">
        <f>$F$187</f>
        <v>Losun vegna meðhöndlunar húsdýraáburðar frá öllum húsdýraflokkum</v>
      </c>
      <c r="G197" s="10" t="s">
        <v>162</v>
      </c>
      <c r="H197" s="10" t="str">
        <f>$H$187</f>
        <v>Emissions from the manure management</v>
      </c>
      <c r="I197" s="12"/>
      <c r="J197" s="12"/>
      <c r="K197" s="12"/>
      <c r="L197" s="12"/>
      <c r="M197" s="12"/>
      <c r="N197" s="12"/>
      <c r="O197" s="12"/>
      <c r="P197" s="12"/>
      <c r="Q197" s="12"/>
      <c r="R197" s="12"/>
      <c r="S197" s="12"/>
      <c r="T197" s="12"/>
      <c r="U197" s="12"/>
      <c r="V197" s="12"/>
      <c r="W197" s="12"/>
      <c r="X197" s="791"/>
      <c r="Y197" s="12"/>
      <c r="Z197" s="12"/>
      <c r="AA197" s="12"/>
      <c r="AB197" s="12"/>
      <c r="AC197" s="12"/>
      <c r="AD197" s="12"/>
      <c r="AE197" s="12"/>
      <c r="AF197" s="12"/>
      <c r="AG197" s="12"/>
      <c r="AH197" s="12"/>
      <c r="AI197" s="12"/>
      <c r="AJ197" s="12"/>
      <c r="AK197" s="12"/>
      <c r="AL197" s="12"/>
      <c r="AM197" s="12"/>
      <c r="AN197" s="12"/>
      <c r="AO197" s="12"/>
      <c r="AP197" s="12"/>
      <c r="AQ197" s="12"/>
      <c r="AR197" s="168">
        <f t="shared" si="76"/>
        <v>76.630003384615506</v>
      </c>
      <c r="AS197" s="23">
        <v>76.647936871403971</v>
      </c>
      <c r="AT197" s="23">
        <v>76.285580239624267</v>
      </c>
      <c r="AU197" s="23">
        <v>76.01858403416918</v>
      </c>
      <c r="AV197" s="23">
        <v>75.905073090621968</v>
      </c>
      <c r="AW197" s="1049">
        <v>75.926882147462038</v>
      </c>
      <c r="AX197" s="23">
        <v>75.428147628076886</v>
      </c>
      <c r="AY197" s="23">
        <v>75.209616738462785</v>
      </c>
      <c r="AZ197" s="23">
        <v>74.81151173652195</v>
      </c>
      <c r="BA197" s="23">
        <v>74.461647500463044</v>
      </c>
      <c r="BB197" s="703">
        <v>73.932065898093086</v>
      </c>
      <c r="BC197" s="23">
        <v>73.399347831682036</v>
      </c>
      <c r="BD197" s="23">
        <v>72.936502762034607</v>
      </c>
      <c r="BE197" s="23">
        <v>72.439705006580354</v>
      </c>
      <c r="BF197" s="23">
        <v>71.981115500719497</v>
      </c>
      <c r="BG197" s="23">
        <v>71.662174078391686</v>
      </c>
      <c r="BH197" s="23">
        <v>71.26734473241801</v>
      </c>
      <c r="BI197" s="23">
        <v>70.960057122533158</v>
      </c>
      <c r="BJ197" s="23">
        <v>70.793617225532842</v>
      </c>
      <c r="BK197" s="23">
        <v>70.75109861446245</v>
      </c>
      <c r="BL197" s="23">
        <v>70.229845935183135</v>
      </c>
      <c r="BM197" s="23">
        <v>69.965761234204365</v>
      </c>
      <c r="BN197" s="23">
        <v>69.536550793345697</v>
      </c>
      <c r="BO197" s="23">
        <v>69.151397737318234</v>
      </c>
      <c r="BP197" s="23">
        <v>68.601300033300248</v>
      </c>
      <c r="BQ197" s="23">
        <v>68.048281643979152</v>
      </c>
      <c r="BR197" s="23">
        <v>67.55918220641135</v>
      </c>
      <c r="BS197" s="23">
        <v>67.038898212717271</v>
      </c>
      <c r="BT197" s="23">
        <v>66.55346323384299</v>
      </c>
      <c r="BU197" s="23">
        <v>66.195506201075247</v>
      </c>
      <c r="BV197" s="23">
        <v>65.76795673111441</v>
      </c>
    </row>
    <row r="198" spans="1:74" s="68" customFormat="1" ht="18" customHeight="1" x14ac:dyDescent="0.4">
      <c r="A198" s="859"/>
      <c r="B198" s="842" t="s">
        <v>60</v>
      </c>
      <c r="C198" s="866" t="str">
        <f t="shared" si="75"/>
        <v>3.D Agricultural soilskt CO2-eq WEM</v>
      </c>
      <c r="D198" s="891" t="s">
        <v>377</v>
      </c>
      <c r="E198" s="11" t="s">
        <v>19</v>
      </c>
      <c r="F198" s="11" t="str">
        <f>$F$188</f>
        <v>Þessi flokkur nær yfir alla hláturgaslosun, beina og óbeina sem á sér stað vegna notkunar tilbúins og lífræns áburðar, vegna þvags og saurs frá dýrum á beit, vegna rotnunar plöntuleifa og vegna framræslu lands.</v>
      </c>
      <c r="G198" s="10" t="s">
        <v>163</v>
      </c>
      <c r="H198" s="10" t="str">
        <f>$H$188</f>
        <v>This category includes all direct and indirect emissions of nitrous oxide that occur from the use of synthetic and organic fertilizers, from urine and dung from grazing animals, from the decay of plant residues, and from drained cropland and grassland.</v>
      </c>
      <c r="I198" s="161">
        <v>0</v>
      </c>
      <c r="J198" s="12"/>
      <c r="K198" s="12"/>
      <c r="L198" s="12"/>
      <c r="M198" s="12"/>
      <c r="N198" s="12"/>
      <c r="O198" s="12"/>
      <c r="P198" s="12"/>
      <c r="Q198" s="12"/>
      <c r="R198" s="12"/>
      <c r="S198" s="12"/>
      <c r="T198" s="12"/>
      <c r="U198" s="12"/>
      <c r="V198" s="12"/>
      <c r="W198" s="12"/>
      <c r="X198" s="791"/>
      <c r="Y198" s="12"/>
      <c r="Z198" s="12"/>
      <c r="AA198" s="12"/>
      <c r="AB198" s="12"/>
      <c r="AC198" s="12"/>
      <c r="AD198" s="12"/>
      <c r="AE198" s="12"/>
      <c r="AF198" s="12"/>
      <c r="AG198" s="12"/>
      <c r="AH198" s="12"/>
      <c r="AI198" s="12"/>
      <c r="AJ198" s="12"/>
      <c r="AK198" s="12"/>
      <c r="AL198" s="12"/>
      <c r="AM198" s="12"/>
      <c r="AN198" s="12"/>
      <c r="AO198" s="12"/>
      <c r="AP198" s="12"/>
      <c r="AQ198" s="12"/>
      <c r="AR198" s="168">
        <f t="shared" si="76"/>
        <v>309.7570133313846</v>
      </c>
      <c r="AS198" s="23">
        <v>311.45374615768935</v>
      </c>
      <c r="AT198" s="23">
        <v>302.04266087026787</v>
      </c>
      <c r="AU198" s="23">
        <v>301.64576685856332</v>
      </c>
      <c r="AV198" s="23">
        <v>300.48043883827796</v>
      </c>
      <c r="AW198" s="1049">
        <v>299.34048948561934</v>
      </c>
      <c r="AX198" s="23">
        <v>299.32806285479109</v>
      </c>
      <c r="AY198" s="23">
        <v>299.41649640583535</v>
      </c>
      <c r="AZ198" s="23">
        <v>299.45337702915043</v>
      </c>
      <c r="BA198" s="23">
        <v>299.49945124595342</v>
      </c>
      <c r="BB198" s="703">
        <v>299.52511567946635</v>
      </c>
      <c r="BC198" s="23">
        <v>299.53110919014034</v>
      </c>
      <c r="BD198" s="23">
        <v>299.56055279434833</v>
      </c>
      <c r="BE198" s="23">
        <v>299.58199118953848</v>
      </c>
      <c r="BF198" s="23">
        <v>299.61539503275571</v>
      </c>
      <c r="BG198" s="23">
        <v>299.68824286442936</v>
      </c>
      <c r="BH198" s="23">
        <v>299.74483155251301</v>
      </c>
      <c r="BI198" s="23">
        <v>299.22610069025444</v>
      </c>
      <c r="BJ198" s="23">
        <v>299.19445680250516</v>
      </c>
      <c r="BK198" s="23">
        <v>299.13626598715751</v>
      </c>
      <c r="BL198" s="23">
        <v>298.48720583317197</v>
      </c>
      <c r="BM198" s="23">
        <v>297.90247400024077</v>
      </c>
      <c r="BN198" s="23">
        <v>297.27441530081967</v>
      </c>
      <c r="BO198" s="23">
        <v>296.65803044409358</v>
      </c>
      <c r="BP198" s="23">
        <v>295.99808473723363</v>
      </c>
      <c r="BQ198" s="23">
        <v>295.3373406972305</v>
      </c>
      <c r="BR198" s="23">
        <v>294.69357807771792</v>
      </c>
      <c r="BS198" s="23">
        <v>294.04154282990618</v>
      </c>
      <c r="BT198" s="23">
        <v>293.39884616319898</v>
      </c>
      <c r="BU198" s="23">
        <v>292.79038336711267</v>
      </c>
      <c r="BV198" s="23">
        <v>292.16348982921318</v>
      </c>
    </row>
    <row r="199" spans="1:74" s="68" customFormat="1" ht="18" customHeight="1" x14ac:dyDescent="0.4">
      <c r="A199" s="859"/>
      <c r="B199" s="842" t="s">
        <v>90</v>
      </c>
      <c r="C199" s="866" t="str">
        <f t="shared" si="75"/>
        <v>Liming and CO2 from fertilizers kt CO2e WEM</v>
      </c>
      <c r="D199" s="891" t="s">
        <v>377</v>
      </c>
      <c r="E199" s="11" t="s">
        <v>207</v>
      </c>
      <c r="F199" s="11" t="str">
        <f>$F$189</f>
        <v>CO₂ losun á sér stað vegna áburðar sem inniheldur kolefni og vegna kölkunar túna. Hún er talin fram hér en mestöll losun vegna notkunar áburðar er hláturgaslosun sem talin er fram innan Nytjajarðvegsflokksins.</v>
      </c>
      <c r="G199" s="10" t="s">
        <v>208</v>
      </c>
      <c r="H199" s="10" t="str">
        <f>$H$189</f>
        <v>CO₂ emissions occur from fertilizers containing carbon and from liming. Those emissions are reported here, but most emissions from fertilizer use are nitrous oxide emissions, which are reported within the category Agricultural Soils.</v>
      </c>
      <c r="I199" s="161">
        <v>0</v>
      </c>
      <c r="J199" s="12"/>
      <c r="K199" s="12"/>
      <c r="L199" s="12"/>
      <c r="M199" s="12"/>
      <c r="N199" s="12"/>
      <c r="O199" s="12"/>
      <c r="P199" s="12"/>
      <c r="Q199" s="12"/>
      <c r="R199" s="12"/>
      <c r="S199" s="12"/>
      <c r="T199" s="12"/>
      <c r="U199" s="12"/>
      <c r="V199" s="12"/>
      <c r="W199" s="12"/>
      <c r="X199" s="791"/>
      <c r="Y199" s="12"/>
      <c r="Z199" s="12"/>
      <c r="AA199" s="12"/>
      <c r="AB199" s="12"/>
      <c r="AC199" s="12"/>
      <c r="AD199" s="12"/>
      <c r="AE199" s="12"/>
      <c r="AF199" s="12"/>
      <c r="AG199" s="12"/>
      <c r="AH199" s="12"/>
      <c r="AI199" s="12"/>
      <c r="AJ199" s="12"/>
      <c r="AK199" s="12"/>
      <c r="AL199" s="12"/>
      <c r="AM199" s="12"/>
      <c r="AN199" s="12"/>
      <c r="AO199" s="12"/>
      <c r="AP199" s="12"/>
      <c r="AQ199" s="12"/>
      <c r="AR199" s="168">
        <f t="shared" si="76"/>
        <v>7.4662023749915436</v>
      </c>
      <c r="AS199" s="87">
        <f t="shared" ref="AS199:BA199" si="77">SUM(AS200:AS202)</f>
        <v>6.4546001306412109</v>
      </c>
      <c r="AT199" s="87">
        <f t="shared" si="77"/>
        <v>6.0550120425560845</v>
      </c>
      <c r="AU199" s="87">
        <f t="shared" si="77"/>
        <v>6.1040900598089038</v>
      </c>
      <c r="AV199" s="87">
        <f t="shared" si="77"/>
        <v>6.1548612330832277</v>
      </c>
      <c r="AW199" s="1050">
        <f t="shared" si="77"/>
        <v>6.207271266762401</v>
      </c>
      <c r="AX199" s="87">
        <f t="shared" si="77"/>
        <v>6.2618734179142681</v>
      </c>
      <c r="AY199" s="87">
        <f t="shared" si="77"/>
        <v>6.3178275893767282</v>
      </c>
      <c r="AZ199" s="87">
        <f t="shared" si="77"/>
        <v>6.3755018365048493</v>
      </c>
      <c r="BA199" s="87">
        <f t="shared" si="77"/>
        <v>6.4346164039235791</v>
      </c>
      <c r="BB199" s="707">
        <f t="shared" ref="BB199:BO199" si="78">SUM(BB200:BB202)</f>
        <v>6.4953177915303213</v>
      </c>
      <c r="BC199" s="87">
        <f t="shared" si="78"/>
        <v>6.5573825572692046</v>
      </c>
      <c r="BD199" s="87">
        <f t="shared" si="78"/>
        <v>6.6206885953178771</v>
      </c>
      <c r="BE199" s="87">
        <f t="shared" si="78"/>
        <v>6.6852748675152505</v>
      </c>
      <c r="BF199" s="87">
        <f t="shared" si="78"/>
        <v>6.7510250384432888</v>
      </c>
      <c r="BG199" s="87">
        <f t="shared" si="78"/>
        <v>6.8178016789552949</v>
      </c>
      <c r="BH199" s="87">
        <f t="shared" si="78"/>
        <v>6.8857454993488094</v>
      </c>
      <c r="BI199" s="87">
        <f t="shared" si="78"/>
        <v>6.9546689730432449</v>
      </c>
      <c r="BJ199" s="87">
        <f t="shared" si="78"/>
        <v>7.0244842547107531</v>
      </c>
      <c r="BK199" s="87">
        <f t="shared" si="78"/>
        <v>7.0951656793248334</v>
      </c>
      <c r="BL199" s="87">
        <f t="shared" si="78"/>
        <v>7.1671798403289291</v>
      </c>
      <c r="BM199" s="87">
        <f t="shared" si="78"/>
        <v>7.2398669119770176</v>
      </c>
      <c r="BN199" s="87">
        <f t="shared" si="78"/>
        <v>7.3135434091980693</v>
      </c>
      <c r="BO199" s="87">
        <f t="shared" si="78"/>
        <v>7.3879989575393337</v>
      </c>
      <c r="BP199" s="87">
        <f t="shared" ref="BP199:BU199" si="79">SUM(BP200:BP202)</f>
        <v>7.463371302782833</v>
      </c>
      <c r="BQ199" s="87">
        <f t="shared" si="79"/>
        <v>7.5394935750538012</v>
      </c>
      <c r="BR199" s="87">
        <f t="shared" si="79"/>
        <v>7.6162802414120012</v>
      </c>
      <c r="BS199" s="87">
        <f t="shared" si="79"/>
        <v>7.6937789283637388</v>
      </c>
      <c r="BT199" s="87">
        <f t="shared" si="79"/>
        <v>7.7719074467529188</v>
      </c>
      <c r="BU199" s="87">
        <f t="shared" si="79"/>
        <v>7.8505643186211467</v>
      </c>
      <c r="BV199" s="87">
        <f t="shared" ref="BV199" si="80">SUM(BV200:BV202)</f>
        <v>7.9298817674867275</v>
      </c>
    </row>
    <row r="200" spans="1:74" s="85" customFormat="1" ht="18" customHeight="1" x14ac:dyDescent="0.4">
      <c r="A200" s="860"/>
      <c r="B200" s="842" t="s">
        <v>61</v>
      </c>
      <c r="C200" s="866" t="str">
        <f t="shared" si="75"/>
        <v>3.G Limingkt CO2-eq WEM</v>
      </c>
      <c r="D200" s="891" t="s">
        <v>377</v>
      </c>
      <c r="E200" s="31" t="s">
        <v>100</v>
      </c>
      <c r="F200" s="1017"/>
      <c r="G200" s="39" t="s">
        <v>124</v>
      </c>
      <c r="H200" s="1017"/>
      <c r="I200" s="173"/>
      <c r="J200" s="173"/>
      <c r="K200" s="173"/>
      <c r="L200" s="173"/>
      <c r="M200" s="173"/>
      <c r="N200" s="173"/>
      <c r="O200" s="173"/>
      <c r="P200" s="173"/>
      <c r="Q200" s="173"/>
      <c r="R200" s="173"/>
      <c r="S200" s="173"/>
      <c r="T200" s="173"/>
      <c r="U200" s="173"/>
      <c r="V200" s="173"/>
      <c r="W200" s="173"/>
      <c r="X200" s="791"/>
      <c r="Y200" s="173"/>
      <c r="Z200" s="173"/>
      <c r="AA200" s="173"/>
      <c r="AB200" s="173"/>
      <c r="AC200" s="173"/>
      <c r="AD200" s="173"/>
      <c r="AE200" s="173"/>
      <c r="AF200" s="173"/>
      <c r="AG200" s="173"/>
      <c r="AH200" s="173"/>
      <c r="AI200" s="173"/>
      <c r="AJ200" s="173"/>
      <c r="AK200" s="173"/>
      <c r="AL200" s="173"/>
      <c r="AM200" s="173"/>
      <c r="AN200" s="173"/>
      <c r="AO200" s="173"/>
      <c r="AP200" s="173"/>
      <c r="AQ200" s="173"/>
      <c r="AR200" s="168">
        <f t="shared" si="76"/>
        <v>4.2993264233333335</v>
      </c>
      <c r="AS200" s="1051">
        <v>3.4056871545286311</v>
      </c>
      <c r="AT200" s="1051">
        <v>3.498919602138459</v>
      </c>
      <c r="AU200" s="1051">
        <v>3.5921520497482815</v>
      </c>
      <c r="AV200" s="1051">
        <v>3.6853844973581094</v>
      </c>
      <c r="AW200" s="1052">
        <v>3.7786169449679363</v>
      </c>
      <c r="AX200" s="1051">
        <v>3.8718493925777642</v>
      </c>
      <c r="AY200" s="1051">
        <v>3.965081840187592</v>
      </c>
      <c r="AZ200" s="1051">
        <v>4.058314287797419</v>
      </c>
      <c r="BA200" s="1051">
        <v>4.1515467354072415</v>
      </c>
      <c r="BB200" s="1053">
        <v>4.2447791830170694</v>
      </c>
      <c r="BC200" s="1051">
        <v>4.3380116306268963</v>
      </c>
      <c r="BD200" s="1051">
        <v>4.4312440782367251</v>
      </c>
      <c r="BE200" s="1051">
        <v>4.524476525846552</v>
      </c>
      <c r="BF200" s="1051">
        <v>4.6177089734563808</v>
      </c>
      <c r="BG200" s="1051">
        <v>4.7109414210662024</v>
      </c>
      <c r="BH200" s="1051">
        <v>4.8041738686760294</v>
      </c>
      <c r="BI200" s="1051">
        <v>4.8974063162858572</v>
      </c>
      <c r="BJ200" s="1051">
        <v>4.9906387638956851</v>
      </c>
      <c r="BK200" s="1051">
        <v>5.0838712115055138</v>
      </c>
      <c r="BL200" s="1051">
        <v>5.1771036591153408</v>
      </c>
      <c r="BM200" s="1051">
        <v>5.2703361067251624</v>
      </c>
      <c r="BN200" s="1051">
        <v>5.3635685543349902</v>
      </c>
      <c r="BO200" s="1051">
        <v>5.4568010019448181</v>
      </c>
      <c r="BP200" s="1051">
        <v>5.5500334495546451</v>
      </c>
      <c r="BQ200" s="1051">
        <v>5.6432658971644729</v>
      </c>
      <c r="BR200" s="1051">
        <v>5.7364983447742954</v>
      </c>
      <c r="BS200" s="1051">
        <v>5.8297307923841233</v>
      </c>
      <c r="BT200" s="1051">
        <v>5.9229632399939502</v>
      </c>
      <c r="BU200" s="1051">
        <v>6.0161956876037781</v>
      </c>
      <c r="BV200" s="1051">
        <v>6.1094281352136068</v>
      </c>
    </row>
    <row r="201" spans="1:74" s="85" customFormat="1" ht="18" customHeight="1" x14ac:dyDescent="0.4">
      <c r="A201" s="860"/>
      <c r="B201" s="842" t="s">
        <v>76</v>
      </c>
      <c r="C201" s="866" t="str">
        <f t="shared" si="75"/>
        <v>3.H Urea applicationkt CO2-eq WEM</v>
      </c>
      <c r="D201" s="891" t="s">
        <v>377</v>
      </c>
      <c r="E201" s="31" t="s">
        <v>99</v>
      </c>
      <c r="F201" s="1017"/>
      <c r="G201" s="39" t="s">
        <v>125</v>
      </c>
      <c r="H201" s="1017"/>
      <c r="I201" s="173"/>
      <c r="J201" s="173"/>
      <c r="K201" s="173"/>
      <c r="L201" s="173"/>
      <c r="M201" s="173"/>
      <c r="N201" s="173"/>
      <c r="O201" s="173"/>
      <c r="P201" s="173"/>
      <c r="Q201" s="173"/>
      <c r="R201" s="173"/>
      <c r="S201" s="173"/>
      <c r="T201" s="173"/>
      <c r="U201" s="173"/>
      <c r="V201" s="173"/>
      <c r="W201" s="173"/>
      <c r="X201" s="791"/>
      <c r="Y201" s="173"/>
      <c r="Z201" s="173"/>
      <c r="AA201" s="173"/>
      <c r="AB201" s="173"/>
      <c r="AC201" s="173"/>
      <c r="AD201" s="173"/>
      <c r="AE201" s="173"/>
      <c r="AF201" s="173"/>
      <c r="AG201" s="173"/>
      <c r="AH201" s="173"/>
      <c r="AI201" s="173"/>
      <c r="AJ201" s="173"/>
      <c r="AK201" s="173"/>
      <c r="AL201" s="173"/>
      <c r="AM201" s="173"/>
      <c r="AN201" s="173"/>
      <c r="AO201" s="173"/>
      <c r="AP201" s="173"/>
      <c r="AQ201" s="173"/>
      <c r="AR201" s="168">
        <f t="shared" si="76"/>
        <v>2.0180196666666665</v>
      </c>
      <c r="AS201" s="1051">
        <v>1.7660448666666664</v>
      </c>
      <c r="AT201" s="1051">
        <v>1.5070959018055525</v>
      </c>
      <c r="AU201" s="1051">
        <v>1.5069166563835967</v>
      </c>
      <c r="AV201" s="1051">
        <v>1.506645698105938</v>
      </c>
      <c r="AW201" s="1052">
        <v>1.5062927229114387</v>
      </c>
      <c r="AX201" s="1051">
        <v>1.5062492921458546</v>
      </c>
      <c r="AY201" s="1051">
        <v>1.5060379868917992</v>
      </c>
      <c r="AZ201" s="1051">
        <v>1.5059342017711068</v>
      </c>
      <c r="BA201" s="1051">
        <v>1.505801219629896</v>
      </c>
      <c r="BB201" s="1053">
        <v>1.5057773875649565</v>
      </c>
      <c r="BC201" s="1051">
        <v>1.5057561663461239</v>
      </c>
      <c r="BD201" s="1051">
        <v>1.5056927919577214</v>
      </c>
      <c r="BE201" s="1051">
        <v>1.5056506980773372</v>
      </c>
      <c r="BF201" s="1051">
        <v>1.5055855089716166</v>
      </c>
      <c r="BG201" s="1051">
        <v>1.5054339326690347</v>
      </c>
      <c r="BH201" s="1051">
        <v>1.5053293198790481</v>
      </c>
      <c r="BI201" s="1051">
        <v>1.5051699112788641</v>
      </c>
      <c r="BJ201" s="1051">
        <v>1.5049215154383233</v>
      </c>
      <c r="BK201" s="1051">
        <v>1.5045937274326873</v>
      </c>
      <c r="BL201" s="1051">
        <v>1.5045676197306099</v>
      </c>
      <c r="BM201" s="1051">
        <v>1.5043784903182509</v>
      </c>
      <c r="BN201" s="1051">
        <v>1.5042942327570714</v>
      </c>
      <c r="BO201" s="1051">
        <v>1.5041818963345499</v>
      </c>
      <c r="BP201" s="1051">
        <v>1.5041758084353363</v>
      </c>
      <c r="BQ201" s="1051">
        <v>1.5041724420879876</v>
      </c>
      <c r="BR201" s="1051">
        <v>1.5041284028404565</v>
      </c>
      <c r="BS201" s="1051">
        <v>1.5041052215180202</v>
      </c>
      <c r="BT201" s="1051">
        <v>1.5040599005756889</v>
      </c>
      <c r="BU201" s="1051">
        <v>1.5039312490014052</v>
      </c>
      <c r="BV201" s="1051">
        <v>1.5038483702401733</v>
      </c>
    </row>
    <row r="202" spans="1:74" s="85" customFormat="1" ht="18" customHeight="1" x14ac:dyDescent="0.4">
      <c r="A202" s="860"/>
      <c r="B202" s="842" t="s">
        <v>77</v>
      </c>
      <c r="C202" s="866" t="str">
        <f t="shared" si="75"/>
        <v>3.I Other carbon-containing fertilizerskt CO2-eq WEM</v>
      </c>
      <c r="D202" s="891" t="s">
        <v>377</v>
      </c>
      <c r="E202" s="31" t="s">
        <v>101</v>
      </c>
      <c r="F202" s="1017"/>
      <c r="G202" s="39" t="s">
        <v>126</v>
      </c>
      <c r="H202" s="1017"/>
      <c r="I202" s="173"/>
      <c r="J202" s="173"/>
      <c r="K202" s="173"/>
      <c r="L202" s="173"/>
      <c r="M202" s="173"/>
      <c r="N202" s="173"/>
      <c r="O202" s="173"/>
      <c r="P202" s="173"/>
      <c r="Q202" s="173"/>
      <c r="R202" s="173"/>
      <c r="S202" s="173"/>
      <c r="T202" s="173"/>
      <c r="U202" s="173"/>
      <c r="V202" s="173"/>
      <c r="W202" s="173"/>
      <c r="X202" s="791"/>
      <c r="Y202" s="173"/>
      <c r="Z202" s="173"/>
      <c r="AA202" s="173"/>
      <c r="AB202" s="173"/>
      <c r="AC202" s="173"/>
      <c r="AD202" s="173"/>
      <c r="AE202" s="173"/>
      <c r="AF202" s="173"/>
      <c r="AG202" s="173"/>
      <c r="AH202" s="173"/>
      <c r="AI202" s="173"/>
      <c r="AJ202" s="173"/>
      <c r="AK202" s="173"/>
      <c r="AL202" s="173"/>
      <c r="AM202" s="173"/>
      <c r="AN202" s="173"/>
      <c r="AO202" s="173"/>
      <c r="AP202" s="173"/>
      <c r="AQ202" s="173"/>
      <c r="AR202" s="168">
        <f t="shared" si="76"/>
        <v>1.1488562849915438</v>
      </c>
      <c r="AS202" s="1051">
        <v>1.2828681094459131</v>
      </c>
      <c r="AT202" s="1051">
        <v>1.0489965386120725</v>
      </c>
      <c r="AU202" s="1051">
        <v>1.0050213536770252</v>
      </c>
      <c r="AV202" s="1051">
        <v>0.96283103761918021</v>
      </c>
      <c r="AW202" s="1052">
        <v>0.92236159888302671</v>
      </c>
      <c r="AX202" s="1051">
        <v>0.88377473319064981</v>
      </c>
      <c r="AY202" s="1051">
        <v>0.84670776229733691</v>
      </c>
      <c r="AZ202" s="1051">
        <v>0.81125334693632423</v>
      </c>
      <c r="BA202" s="1051">
        <v>0.77726844888644231</v>
      </c>
      <c r="BB202" s="1053">
        <v>0.74476122094829578</v>
      </c>
      <c r="BC202" s="1051">
        <v>0.71361476029618376</v>
      </c>
      <c r="BD202" s="1051">
        <v>0.68375172512343063</v>
      </c>
      <c r="BE202" s="1051">
        <v>0.65514764359136057</v>
      </c>
      <c r="BF202" s="1051">
        <v>0.62773055601529115</v>
      </c>
      <c r="BG202" s="1051">
        <v>0.60142632522005846</v>
      </c>
      <c r="BH202" s="1051">
        <v>0.57624231079373134</v>
      </c>
      <c r="BI202" s="1051">
        <v>0.55209274547852305</v>
      </c>
      <c r="BJ202" s="1051">
        <v>0.52892397537674407</v>
      </c>
      <c r="BK202" s="1051">
        <v>0.50670074038663226</v>
      </c>
      <c r="BL202" s="1051">
        <v>0.48550856148297855</v>
      </c>
      <c r="BM202" s="1051">
        <v>0.4651523149336047</v>
      </c>
      <c r="BN202" s="1051">
        <v>0.44568062210600756</v>
      </c>
      <c r="BO202" s="1051">
        <v>0.42701605925996622</v>
      </c>
      <c r="BP202" s="1051">
        <v>0.40916204479285151</v>
      </c>
      <c r="BQ202" s="1051">
        <v>0.39205523580134111</v>
      </c>
      <c r="BR202" s="1051">
        <v>0.37565349379724905</v>
      </c>
      <c r="BS202" s="1051">
        <v>0.35994291446159526</v>
      </c>
      <c r="BT202" s="1051">
        <v>0.34488430618327948</v>
      </c>
      <c r="BU202" s="1051">
        <v>0.33043738201596351</v>
      </c>
      <c r="BV202" s="1051">
        <v>0.31660526203294753</v>
      </c>
    </row>
    <row r="203" spans="1:74" s="63" customFormat="1" ht="18" customHeight="1" x14ac:dyDescent="0.4">
      <c r="A203" s="861"/>
      <c r="B203" s="842" t="s">
        <v>40</v>
      </c>
      <c r="C203" s="866" t="str">
        <f t="shared" ref="C203" si="81">B203&amp;" "&amp;D203</f>
        <v>3. Agriculturekt CO2-eq WEM</v>
      </c>
      <c r="D203" s="891" t="s">
        <v>377</v>
      </c>
      <c r="E203" s="25" t="s">
        <v>117</v>
      </c>
      <c r="F203" s="89"/>
      <c r="G203" s="13"/>
      <c r="H203" s="89"/>
      <c r="I203" s="12"/>
      <c r="J203" s="12"/>
      <c r="K203" s="12"/>
      <c r="L203" s="12"/>
      <c r="M203" s="12"/>
      <c r="N203" s="12"/>
      <c r="O203" s="12"/>
      <c r="P203" s="12"/>
      <c r="Q203" s="12"/>
      <c r="R203" s="12"/>
      <c r="S203" s="12"/>
      <c r="T203" s="12"/>
      <c r="U203" s="12"/>
      <c r="V203" s="12"/>
      <c r="W203" s="12"/>
      <c r="X203" s="791"/>
      <c r="Y203" s="12"/>
      <c r="Z203" s="12"/>
      <c r="AA203" s="12"/>
      <c r="AB203" s="12"/>
      <c r="AC203" s="12"/>
      <c r="AD203" s="12"/>
      <c r="AE203" s="12"/>
      <c r="AF203" s="12"/>
      <c r="AG203" s="12"/>
      <c r="AH203" s="12"/>
      <c r="AI203" s="12"/>
      <c r="AJ203" s="12"/>
      <c r="AK203" s="12"/>
      <c r="AL203" s="12"/>
      <c r="AM203" s="12"/>
      <c r="AN203" s="12"/>
      <c r="AO203" s="12"/>
      <c r="AP203" s="161">
        <f>AP193</f>
        <v>667.46610440740528</v>
      </c>
      <c r="AQ203" s="161"/>
      <c r="AR203" s="168">
        <f t="shared" si="76"/>
        <v>668.34042724521601</v>
      </c>
      <c r="AS203" s="1054">
        <v>668.54619208554391</v>
      </c>
      <c r="AT203" s="1054">
        <v>656.60904705946609</v>
      </c>
      <c r="AU203" s="1054">
        <v>654.4797775470571</v>
      </c>
      <c r="AV203" s="1054">
        <v>652.13871239495563</v>
      </c>
      <c r="AW203" s="1049">
        <v>650.31376558660054</v>
      </c>
      <c r="AX203" s="1054">
        <v>647.73784360894774</v>
      </c>
      <c r="AY203" s="1054">
        <v>646.27685346823318</v>
      </c>
      <c r="AZ203" s="1054">
        <v>644.11762677097295</v>
      </c>
      <c r="BA203" s="1054">
        <v>642.14365199552128</v>
      </c>
      <c r="BB203" s="1049">
        <v>639.5022120899896</v>
      </c>
      <c r="BC203" s="1054">
        <v>636.83164857070074</v>
      </c>
      <c r="BD203" s="1054">
        <v>634.43854896594473</v>
      </c>
      <c r="BE203" s="1054">
        <v>631.91661035643847</v>
      </c>
      <c r="BF203" s="1054">
        <v>629.54618905941356</v>
      </c>
      <c r="BG203" s="1054">
        <v>627.72066486934909</v>
      </c>
      <c r="BH203" s="1054">
        <v>625.60652900788568</v>
      </c>
      <c r="BI203" s="1054">
        <v>623.23429645427916</v>
      </c>
      <c r="BJ203" s="1054">
        <v>621.85847520718653</v>
      </c>
      <c r="BK203" s="1054">
        <v>620.90416111902175</v>
      </c>
      <c r="BL203" s="1054">
        <v>617.63373278586982</v>
      </c>
      <c r="BM203" s="1054">
        <v>615.35622173838874</v>
      </c>
      <c r="BN203" s="1054">
        <v>612.44123308516635</v>
      </c>
      <c r="BO203" s="1054">
        <v>609.69795998429311</v>
      </c>
      <c r="BP203" s="1054">
        <v>606.31781037972337</v>
      </c>
      <c r="BQ203" s="1054">
        <v>602.92761187344752</v>
      </c>
      <c r="BR203" s="1054">
        <v>599.7859546805546</v>
      </c>
      <c r="BS203" s="1054">
        <v>596.52483307963314</v>
      </c>
      <c r="BT203" s="1054">
        <v>593.39974597286641</v>
      </c>
      <c r="BU203" s="1054">
        <v>590.76915468008087</v>
      </c>
      <c r="BV203" s="1054">
        <v>587.87045907676656</v>
      </c>
    </row>
    <row r="204" spans="1:74" x14ac:dyDescent="0.4">
      <c r="AW204" s="50"/>
      <c r="BV204" s="50"/>
    </row>
    <row r="205" spans="1:74" x14ac:dyDescent="0.4">
      <c r="AW205" s="50"/>
      <c r="BV205" s="50"/>
    </row>
    <row r="206" spans="1:74" s="1172" customFormat="1" ht="47.4" customHeight="1" x14ac:dyDescent="0.75">
      <c r="A206" s="1156"/>
      <c r="B206" s="836"/>
      <c r="C206" s="870"/>
      <c r="D206" s="1149"/>
      <c r="E206" s="1169" t="s">
        <v>440</v>
      </c>
      <c r="F206" s="1024"/>
      <c r="G206" s="144"/>
      <c r="H206" s="1024"/>
      <c r="I206" s="145"/>
      <c r="J206" s="1170"/>
      <c r="K206" s="1170"/>
      <c r="L206" s="1170"/>
      <c r="M206" s="1170"/>
      <c r="N206" s="1170"/>
      <c r="O206" s="1170"/>
      <c r="P206" s="1170"/>
      <c r="Q206" s="1170"/>
      <c r="R206" s="1170"/>
      <c r="S206" s="1170"/>
      <c r="T206" s="1170"/>
      <c r="U206" s="1171"/>
      <c r="V206" s="1171"/>
      <c r="W206" s="1171"/>
      <c r="X206" s="1298"/>
      <c r="Y206" s="1171"/>
      <c r="Z206" s="1171"/>
      <c r="AA206" s="1171"/>
      <c r="AB206" s="1171"/>
      <c r="AC206" s="1171"/>
      <c r="AD206" s="1171"/>
      <c r="AE206" s="1171"/>
      <c r="AF206" s="1171"/>
      <c r="AG206" s="1171"/>
      <c r="AH206" s="1171"/>
      <c r="AI206" s="1171"/>
      <c r="AJ206" s="1171"/>
      <c r="AK206" s="1171"/>
      <c r="AL206" s="1171"/>
      <c r="AM206" s="1171"/>
      <c r="AN206" s="1171"/>
      <c r="AO206" s="1171"/>
      <c r="AP206" s="1171"/>
      <c r="AQ206" s="1171"/>
      <c r="AW206" s="1173"/>
      <c r="BB206" s="1174"/>
    </row>
    <row r="207" spans="1:74" s="1263" customFormat="1" ht="48" customHeight="1" x14ac:dyDescent="0.4">
      <c r="A207" s="1141"/>
      <c r="B207" s="1255"/>
      <c r="C207" s="1256"/>
      <c r="D207" s="1225"/>
      <c r="E207" s="1257"/>
      <c r="F207" s="1258"/>
      <c r="G207" s="1259"/>
      <c r="H207" s="1258"/>
      <c r="I207" s="1260"/>
      <c r="J207" s="1261"/>
      <c r="K207" s="1261"/>
      <c r="L207" s="1261"/>
      <c r="M207" s="1261"/>
      <c r="N207" s="1261"/>
      <c r="O207" s="1261"/>
      <c r="P207" s="1261"/>
      <c r="Q207" s="1261"/>
      <c r="R207" s="1261"/>
      <c r="S207" s="1261"/>
      <c r="T207" s="1261"/>
      <c r="U207" s="1261"/>
      <c r="V207" s="1261"/>
      <c r="W207" s="1261"/>
      <c r="X207" s="1262"/>
      <c r="Y207" s="1261"/>
      <c r="Z207" s="1261"/>
      <c r="AA207" s="1261"/>
      <c r="AB207" s="1261"/>
      <c r="AC207" s="1261"/>
      <c r="AD207" s="1261"/>
      <c r="AE207" s="1261"/>
      <c r="AF207" s="1261"/>
      <c r="AG207" s="1261"/>
      <c r="AH207" s="1261"/>
      <c r="AI207" s="1261"/>
      <c r="AJ207" s="1261"/>
      <c r="AK207" s="1261"/>
      <c r="AL207" s="1261"/>
      <c r="AM207" s="1261"/>
      <c r="AN207" s="1261"/>
      <c r="AO207" s="1261"/>
      <c r="AP207" s="1261"/>
      <c r="AQ207" s="1261"/>
      <c r="AR207" s="1261"/>
      <c r="AS207" s="1261"/>
      <c r="AT207" s="1261"/>
      <c r="AU207" s="1261"/>
      <c r="AV207" s="1261"/>
      <c r="AW207" s="1262"/>
      <c r="AX207" s="1261"/>
      <c r="AY207" s="1261"/>
      <c r="AZ207" s="1261"/>
      <c r="BA207" s="1261"/>
      <c r="BB207" s="1262"/>
      <c r="BC207" s="1261"/>
      <c r="BD207" s="1261"/>
      <c r="BE207" s="1261"/>
      <c r="BF207" s="1261"/>
      <c r="BG207" s="1261"/>
      <c r="BH207" s="1261"/>
      <c r="BI207" s="1261"/>
      <c r="BJ207" s="1261"/>
      <c r="BK207" s="1261"/>
      <c r="BL207" s="1261"/>
      <c r="BM207" s="1261"/>
      <c r="BN207" s="1261"/>
      <c r="BO207" s="1261"/>
      <c r="BP207" s="1261"/>
      <c r="BQ207" s="1261"/>
      <c r="BR207" s="1261"/>
      <c r="BS207" s="1261"/>
      <c r="BT207" s="1261"/>
      <c r="BU207" s="1261"/>
      <c r="BV207" s="1261"/>
    </row>
    <row r="208" spans="1:74" s="63" customFormat="1" x14ac:dyDescent="0.4">
      <c r="A208" s="861"/>
      <c r="B208" s="842"/>
      <c r="C208" s="867"/>
      <c r="D208" s="889"/>
      <c r="E208" s="35"/>
      <c r="F208" s="90"/>
      <c r="G208" s="34"/>
      <c r="H208" s="90"/>
      <c r="I208" s="1048"/>
      <c r="J208" s="1048"/>
      <c r="K208" s="1048"/>
      <c r="L208" s="1048"/>
      <c r="M208" s="1048"/>
      <c r="N208" s="1048"/>
      <c r="O208" s="1048"/>
      <c r="P208" s="1048"/>
      <c r="Q208" s="1048"/>
      <c r="R208" s="1048"/>
      <c r="S208" s="1048"/>
      <c r="T208" s="1048"/>
      <c r="U208" s="35"/>
      <c r="V208" s="35"/>
      <c r="W208" s="35"/>
      <c r="X208" s="82"/>
      <c r="Y208" s="35"/>
      <c r="Z208" s="35"/>
      <c r="AA208" s="35"/>
      <c r="AB208" s="35"/>
      <c r="AC208" s="35"/>
      <c r="AD208" s="35"/>
      <c r="AE208" s="35"/>
      <c r="AF208" s="35"/>
      <c r="AG208" s="35"/>
      <c r="AH208" s="35"/>
      <c r="AI208" s="35"/>
      <c r="AJ208" s="35"/>
      <c r="AK208" s="35"/>
      <c r="AL208" s="35"/>
      <c r="AM208" s="35"/>
      <c r="AN208" s="35"/>
      <c r="AO208" s="35"/>
      <c r="AP208" s="35"/>
      <c r="AQ208" s="35"/>
      <c r="AW208" s="621"/>
      <c r="BB208" s="621"/>
    </row>
    <row r="209" spans="1:75" x14ac:dyDescent="0.4">
      <c r="B209" s="839"/>
      <c r="C209" s="869" t="s">
        <v>44</v>
      </c>
      <c r="D209" s="884"/>
      <c r="E209" s="49" t="str">
        <f>$E$5</f>
        <v>Söguleg losun</v>
      </c>
      <c r="F209" s="624"/>
      <c r="G209" s="49" t="s">
        <v>330</v>
      </c>
      <c r="H209" s="624"/>
      <c r="I209" s="5"/>
      <c r="J209" s="5"/>
      <c r="K209" s="5"/>
      <c r="L209" s="5"/>
      <c r="M209" s="5"/>
      <c r="N209" s="5"/>
      <c r="O209" s="5"/>
      <c r="P209" s="5"/>
      <c r="Q209" s="5"/>
      <c r="R209" s="5"/>
      <c r="S209" s="5"/>
      <c r="T209" s="5"/>
      <c r="U209" s="5"/>
      <c r="V209" s="5"/>
      <c r="W209" s="5"/>
      <c r="X209" s="793"/>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621"/>
      <c r="AX209" s="5"/>
      <c r="AY209" s="5"/>
      <c r="AZ209" s="5"/>
      <c r="BA209" s="5"/>
      <c r="BB209" s="793"/>
      <c r="BC209" s="5"/>
      <c r="BD209" s="5"/>
      <c r="BE209" s="5"/>
      <c r="BF209" s="5"/>
      <c r="BG209" s="5"/>
      <c r="BH209" s="5"/>
      <c r="BI209" s="5"/>
      <c r="BJ209" s="5"/>
      <c r="BK209" s="5"/>
      <c r="BL209" s="5"/>
      <c r="BM209" s="5"/>
      <c r="BN209" s="5"/>
      <c r="BO209" s="5"/>
      <c r="BP209" s="5"/>
      <c r="BQ209" s="5"/>
      <c r="BR209" s="5"/>
      <c r="BS209" s="5"/>
      <c r="BT209" s="5"/>
      <c r="BU209" s="5"/>
      <c r="BV209" s="5"/>
    </row>
    <row r="210" spans="1:75" s="50" customFormat="1" ht="18" customHeight="1" x14ac:dyDescent="0.4">
      <c r="A210" s="856"/>
      <c r="B210" s="839" t="s">
        <v>68</v>
      </c>
      <c r="C210" s="869" t="s">
        <v>44</v>
      </c>
      <c r="D210" s="890" t="s">
        <v>44</v>
      </c>
      <c r="E210" s="11" t="s">
        <v>84</v>
      </c>
      <c r="F210" s="64"/>
      <c r="G210" s="10" t="s">
        <v>174</v>
      </c>
      <c r="H210" s="64"/>
      <c r="I210" s="11">
        <v>-30.936432023974863</v>
      </c>
      <c r="J210" s="11">
        <v>-32.411378201668747</v>
      </c>
      <c r="K210" s="11">
        <v>-37.586802227768317</v>
      </c>
      <c r="L210" s="11">
        <v>-42.997955545587509</v>
      </c>
      <c r="M210" s="11">
        <v>-46.127436854418868</v>
      </c>
      <c r="N210" s="11">
        <v>-56.651673031805622</v>
      </c>
      <c r="O210" s="11">
        <v>-60.764199690409484</v>
      </c>
      <c r="P210" s="11">
        <v>-67.627059231654727</v>
      </c>
      <c r="Q210" s="11">
        <v>-76.235243305882904</v>
      </c>
      <c r="R210" s="11">
        <v>-82.800551502352448</v>
      </c>
      <c r="S210" s="11">
        <v>-94.022041375155837</v>
      </c>
      <c r="T210" s="11">
        <v>-100.08331361131968</v>
      </c>
      <c r="U210" s="11">
        <v>-108.9660458624883</v>
      </c>
      <c r="V210" s="11">
        <v>-119.30777592336456</v>
      </c>
      <c r="W210" s="11">
        <v>-126.38738018495359</v>
      </c>
      <c r="X210" s="704">
        <v>-146.23533417008338</v>
      </c>
      <c r="Y210" s="11">
        <v>-153.26012993713954</v>
      </c>
      <c r="Z210" s="11">
        <v>-271.2299744752525</v>
      </c>
      <c r="AA210" s="11">
        <v>-275.51343668427478</v>
      </c>
      <c r="AB210" s="11">
        <v>-288.43675180059307</v>
      </c>
      <c r="AC210" s="11">
        <v>-311.66248287269843</v>
      </c>
      <c r="AD210" s="11">
        <v>-339.33829162326816</v>
      </c>
      <c r="AE210" s="11">
        <v>-349.94447073583871</v>
      </c>
      <c r="AF210" s="11">
        <v>-368.40232096472238</v>
      </c>
      <c r="AG210" s="11">
        <v>-391.24425872539143</v>
      </c>
      <c r="AH210" s="11">
        <v>-416.62145516485214</v>
      </c>
      <c r="AI210" s="11">
        <v>-440.630947883472</v>
      </c>
      <c r="AJ210" s="11">
        <v>-479.0867181467512</v>
      </c>
      <c r="AK210" s="11">
        <v>-508.46288133332251</v>
      </c>
      <c r="AL210" s="11">
        <v>-509.99055054524518</v>
      </c>
      <c r="AM210" s="11">
        <v>-513.99765483315161</v>
      </c>
      <c r="AN210" s="11">
        <v>-516.40687686312754</v>
      </c>
      <c r="AO210" s="11">
        <v>-545.81520571972464</v>
      </c>
      <c r="AP210" s="11">
        <v>-536.85907215301847</v>
      </c>
      <c r="AQ210" s="11">
        <v>-534.16681294223883</v>
      </c>
      <c r="AR210" s="11">
        <v>-569.03313713696218</v>
      </c>
      <c r="AS210" s="616"/>
      <c r="AT210" s="12"/>
      <c r="AU210" s="12"/>
      <c r="AV210" s="12"/>
      <c r="AW210" s="689"/>
      <c r="AX210" s="12"/>
      <c r="AY210" s="12"/>
      <c r="AZ210" s="12"/>
      <c r="BA210" s="12"/>
      <c r="BB210" s="791"/>
      <c r="BC210" s="12"/>
      <c r="BD210" s="12"/>
      <c r="BE210" s="12"/>
      <c r="BF210" s="12"/>
      <c r="BG210" s="12"/>
      <c r="BH210" s="12"/>
      <c r="BI210" s="12"/>
      <c r="BJ210" s="12"/>
      <c r="BK210" s="12"/>
      <c r="BL210" s="12"/>
      <c r="BM210" s="12"/>
      <c r="BN210" s="12"/>
      <c r="BO210" s="12"/>
      <c r="BP210" s="12"/>
      <c r="BQ210" s="12"/>
      <c r="BR210" s="12"/>
      <c r="BS210" s="12"/>
      <c r="BT210" s="12"/>
      <c r="BU210" s="12"/>
      <c r="BV210" s="12"/>
    </row>
    <row r="211" spans="1:75" s="50" customFormat="1" ht="18" customHeight="1" x14ac:dyDescent="0.4">
      <c r="A211" s="856"/>
      <c r="B211" s="839" t="s">
        <v>69</v>
      </c>
      <c r="C211" s="869" t="s">
        <v>44</v>
      </c>
      <c r="D211" s="890" t="s">
        <v>44</v>
      </c>
      <c r="E211" s="11" t="s">
        <v>108</v>
      </c>
      <c r="F211" s="64"/>
      <c r="G211" s="10" t="s">
        <v>130</v>
      </c>
      <c r="H211" s="64"/>
      <c r="I211" s="11">
        <v>2244.5807034203845</v>
      </c>
      <c r="J211" s="11">
        <v>2231.5530663392287</v>
      </c>
      <c r="K211" s="11">
        <v>2217.5995965900706</v>
      </c>
      <c r="L211" s="11">
        <v>2204.466612896716</v>
      </c>
      <c r="M211" s="11">
        <v>2191.9656034489844</v>
      </c>
      <c r="N211" s="11">
        <v>2179.7671908325242</v>
      </c>
      <c r="O211" s="11">
        <v>2167.2623379753145</v>
      </c>
      <c r="P211" s="11">
        <v>2154.3495383016484</v>
      </c>
      <c r="Q211" s="11">
        <v>2142.2365067573019</v>
      </c>
      <c r="R211" s="11">
        <v>2129.9413267304867</v>
      </c>
      <c r="S211" s="11">
        <v>2118.8291512022861</v>
      </c>
      <c r="T211" s="11">
        <v>2107.2820967831012</v>
      </c>
      <c r="U211" s="11">
        <v>2097.0444106642071</v>
      </c>
      <c r="V211" s="11">
        <v>2086.9995252953163</v>
      </c>
      <c r="W211" s="11">
        <v>2079.0732311845495</v>
      </c>
      <c r="X211" s="704">
        <v>2071.1470824709877</v>
      </c>
      <c r="Y211" s="11">
        <v>2063.2521326489423</v>
      </c>
      <c r="Z211" s="11">
        <v>2055.2952194099053</v>
      </c>
      <c r="AA211" s="11">
        <v>2047.369504154949</v>
      </c>
      <c r="AB211" s="11">
        <v>1995.5861041753369</v>
      </c>
      <c r="AC211" s="11">
        <v>1961.9909072066107</v>
      </c>
      <c r="AD211" s="11">
        <v>1928.2361178632752</v>
      </c>
      <c r="AE211" s="11">
        <v>1894.3202395708979</v>
      </c>
      <c r="AF211" s="11">
        <v>1860.2417546047302</v>
      </c>
      <c r="AG211" s="11">
        <v>1825.9991236892802</v>
      </c>
      <c r="AH211" s="11">
        <v>1792.7549377724179</v>
      </c>
      <c r="AI211" s="11">
        <v>1757.3863735670666</v>
      </c>
      <c r="AJ211" s="11">
        <v>1722.6472788228957</v>
      </c>
      <c r="AK211" s="11">
        <v>1687.7362017755754</v>
      </c>
      <c r="AL211" s="11">
        <v>1652.6537063184926</v>
      </c>
      <c r="AM211" s="11">
        <v>1617.4425304759459</v>
      </c>
      <c r="AN211" s="11">
        <v>1581.9655092131541</v>
      </c>
      <c r="AO211" s="11">
        <v>1648.3529157048454</v>
      </c>
      <c r="AP211" s="11">
        <v>1634.6762937066721</v>
      </c>
      <c r="AQ211" s="11">
        <v>1666.2365169720329</v>
      </c>
      <c r="AR211" s="11">
        <v>1574.5549406841444</v>
      </c>
      <c r="AS211" s="616"/>
      <c r="AT211" s="12"/>
      <c r="AU211" s="12"/>
      <c r="AV211" s="12"/>
      <c r="AW211" s="689"/>
      <c r="AX211" s="12"/>
      <c r="AY211" s="12"/>
      <c r="AZ211" s="12"/>
      <c r="BA211" s="12"/>
      <c r="BB211" s="791"/>
      <c r="BC211" s="12"/>
      <c r="BD211" s="12"/>
      <c r="BE211" s="12"/>
      <c r="BF211" s="12"/>
      <c r="BG211" s="12"/>
      <c r="BH211" s="12"/>
      <c r="BI211" s="12"/>
      <c r="BJ211" s="12"/>
      <c r="BK211" s="12"/>
      <c r="BL211" s="12"/>
      <c r="BM211" s="12"/>
      <c r="BN211" s="12"/>
      <c r="BO211" s="12"/>
      <c r="BP211" s="12"/>
      <c r="BQ211" s="12"/>
      <c r="BR211" s="12"/>
      <c r="BS211" s="12"/>
      <c r="BT211" s="12"/>
      <c r="BU211" s="12"/>
      <c r="BV211" s="12"/>
    </row>
    <row r="212" spans="1:75" s="50" customFormat="1" ht="18" customHeight="1" x14ac:dyDescent="0.4">
      <c r="A212" s="856"/>
      <c r="B212" s="839" t="s">
        <v>70</v>
      </c>
      <c r="C212" s="869" t="s">
        <v>44</v>
      </c>
      <c r="D212" s="890" t="s">
        <v>44</v>
      </c>
      <c r="E212" s="11" t="s">
        <v>28</v>
      </c>
      <c r="F212" s="64"/>
      <c r="G212" s="10" t="s">
        <v>131</v>
      </c>
      <c r="H212" s="64"/>
      <c r="I212" s="11">
        <v>4439.5445159214869</v>
      </c>
      <c r="J212" s="11">
        <v>4438.3663632446005</v>
      </c>
      <c r="K212" s="11">
        <v>4433.4605626827743</v>
      </c>
      <c r="L212" s="11">
        <v>4455.7701725608204</v>
      </c>
      <c r="M212" s="11">
        <v>4456.9532056342005</v>
      </c>
      <c r="N212" s="11">
        <v>4459.4253259502548</v>
      </c>
      <c r="O212" s="11">
        <v>4461.9059069481091</v>
      </c>
      <c r="P212" s="11">
        <v>4471.5133660257616</v>
      </c>
      <c r="Q212" s="11">
        <v>4487.621984796725</v>
      </c>
      <c r="R212" s="11">
        <v>4509.2314872844554</v>
      </c>
      <c r="S212" s="11">
        <v>4535.13967618485</v>
      </c>
      <c r="T212" s="11">
        <v>4558.952162135055</v>
      </c>
      <c r="U212" s="11">
        <v>4590.8397233479955</v>
      </c>
      <c r="V212" s="11">
        <v>4604.2888882548923</v>
      </c>
      <c r="W212" s="11">
        <v>4619.8934962070434</v>
      </c>
      <c r="X212" s="704">
        <v>4646.6745449617347</v>
      </c>
      <c r="Y212" s="11">
        <v>4709.6447456600163</v>
      </c>
      <c r="Z212" s="11">
        <v>4741.8115370644437</v>
      </c>
      <c r="AA212" s="11">
        <v>4796.998501269155</v>
      </c>
      <c r="AB212" s="11">
        <v>4820.859513330608</v>
      </c>
      <c r="AC212" s="11">
        <v>4833.6412044647068</v>
      </c>
      <c r="AD212" s="11">
        <v>4846.3361301245395</v>
      </c>
      <c r="AE212" s="11">
        <v>4864.8560683788801</v>
      </c>
      <c r="AF212" s="11">
        <v>4884.710479469134</v>
      </c>
      <c r="AG212" s="11">
        <v>4904.0874948131277</v>
      </c>
      <c r="AH212" s="11">
        <v>4921.9080237851422</v>
      </c>
      <c r="AI212" s="11">
        <v>4931.5692132362447</v>
      </c>
      <c r="AJ212" s="11">
        <v>4943.9497864089135</v>
      </c>
      <c r="AK212" s="11">
        <v>4963.5918517816626</v>
      </c>
      <c r="AL212" s="11">
        <v>4980.3641393675543</v>
      </c>
      <c r="AM212" s="11">
        <v>4994.7882683210446</v>
      </c>
      <c r="AN212" s="11">
        <v>5002.9875971906304</v>
      </c>
      <c r="AO212" s="11">
        <v>4987.9331553026677</v>
      </c>
      <c r="AP212" s="11">
        <v>5022.5767323179289</v>
      </c>
      <c r="AQ212" s="11">
        <v>5040.1354814222104</v>
      </c>
      <c r="AR212" s="11">
        <v>5024.8635353547543</v>
      </c>
      <c r="AS212" s="616"/>
      <c r="AT212" s="12"/>
      <c r="AU212" s="12"/>
      <c r="AV212" s="12"/>
      <c r="AW212" s="689"/>
      <c r="AX212" s="12"/>
      <c r="AY212" s="12"/>
      <c r="AZ212" s="12"/>
      <c r="BA212" s="12"/>
      <c r="BB212" s="791"/>
      <c r="BC212" s="12"/>
      <c r="BD212" s="12"/>
      <c r="BE212" s="12"/>
      <c r="BF212" s="12"/>
      <c r="BG212" s="12"/>
      <c r="BH212" s="12"/>
      <c r="BI212" s="12"/>
      <c r="BJ212" s="12"/>
      <c r="BK212" s="12"/>
      <c r="BL212" s="12"/>
      <c r="BM212" s="12"/>
      <c r="BN212" s="12"/>
      <c r="BO212" s="12"/>
      <c r="BP212" s="12"/>
      <c r="BQ212" s="12"/>
      <c r="BR212" s="12"/>
      <c r="BS212" s="12"/>
      <c r="BT212" s="12"/>
      <c r="BU212" s="12"/>
      <c r="BV212" s="12"/>
    </row>
    <row r="213" spans="1:75" s="50" customFormat="1" ht="18" customHeight="1" x14ac:dyDescent="0.4">
      <c r="A213" s="856"/>
      <c r="B213" s="839" t="s">
        <v>71</v>
      </c>
      <c r="C213" s="869" t="s">
        <v>44</v>
      </c>
      <c r="D213" s="890" t="s">
        <v>44</v>
      </c>
      <c r="E213" s="11" t="s">
        <v>29</v>
      </c>
      <c r="F213" s="64"/>
      <c r="G213" s="10" t="s">
        <v>132</v>
      </c>
      <c r="H213" s="64"/>
      <c r="I213" s="11">
        <v>2.6585259182034857</v>
      </c>
      <c r="J213" s="11">
        <v>14.595401584870151</v>
      </c>
      <c r="K213" s="11">
        <v>14.51700899462779</v>
      </c>
      <c r="L213" s="11">
        <v>14.533232994627792</v>
      </c>
      <c r="M213" s="11">
        <v>14.55486499462779</v>
      </c>
      <c r="N213" s="11">
        <v>14.55486499462779</v>
      </c>
      <c r="O213" s="11">
        <v>18.134003449393777</v>
      </c>
      <c r="P213" s="11">
        <v>18.196763449393778</v>
      </c>
      <c r="Q213" s="11">
        <v>18.50839606644373</v>
      </c>
      <c r="R213" s="11">
        <v>18.521961399777062</v>
      </c>
      <c r="S213" s="11">
        <v>18.521961399777062</v>
      </c>
      <c r="T213" s="11">
        <v>18.917866399777065</v>
      </c>
      <c r="U213" s="11">
        <v>19.365522399777063</v>
      </c>
      <c r="V213" s="11">
        <v>19.552045733110393</v>
      </c>
      <c r="W213" s="11">
        <v>19.584182399777063</v>
      </c>
      <c r="X213" s="704">
        <v>19.443936711289375</v>
      </c>
      <c r="Y213" s="11">
        <v>21.607283726639984</v>
      </c>
      <c r="Z213" s="11">
        <v>20.494161746475509</v>
      </c>
      <c r="AA213" s="11">
        <v>20.538561427768151</v>
      </c>
      <c r="AB213" s="11">
        <v>21.029356724496331</v>
      </c>
      <c r="AC213" s="11">
        <v>21.158290146896274</v>
      </c>
      <c r="AD213" s="11">
        <v>15.686390391163</v>
      </c>
      <c r="AE213" s="11">
        <v>15.723695057829669</v>
      </c>
      <c r="AF213" s="11">
        <v>15.804207057829668</v>
      </c>
      <c r="AG213" s="11">
        <v>16.069981783977877</v>
      </c>
      <c r="AH213" s="11">
        <v>16.181055815110266</v>
      </c>
      <c r="AI213" s="11">
        <v>14.727682777528623</v>
      </c>
      <c r="AJ213" s="11">
        <v>14.859338689513955</v>
      </c>
      <c r="AK213" s="11">
        <v>14.79376238468563</v>
      </c>
      <c r="AL213" s="11">
        <v>15.279062184685632</v>
      </c>
      <c r="AM213" s="11">
        <v>16.320244942284972</v>
      </c>
      <c r="AN213" s="11">
        <v>16.762905784685628</v>
      </c>
      <c r="AO213" s="11">
        <v>17.110517451352298</v>
      </c>
      <c r="AP213" s="11">
        <v>17.149517784685631</v>
      </c>
      <c r="AQ213" s="11">
        <v>17.149632836863301</v>
      </c>
      <c r="AR213" s="11">
        <v>17.192248584685633</v>
      </c>
      <c r="AS213" s="801"/>
      <c r="AT213" s="12"/>
      <c r="AU213" s="12"/>
      <c r="AV213" s="12"/>
      <c r="AW213" s="689"/>
      <c r="AX213" s="12"/>
      <c r="AY213" s="12"/>
      <c r="AZ213" s="12"/>
      <c r="BA213" s="12"/>
      <c r="BB213" s="791"/>
      <c r="BC213" s="12"/>
      <c r="BD213" s="12"/>
      <c r="BE213" s="12"/>
      <c r="BF213" s="12"/>
      <c r="BG213" s="12"/>
      <c r="BH213" s="12"/>
      <c r="BI213" s="12"/>
      <c r="BJ213" s="12"/>
      <c r="BK213" s="12"/>
      <c r="BL213" s="12"/>
      <c r="BM213" s="12"/>
      <c r="BN213" s="12"/>
      <c r="BO213" s="12"/>
      <c r="BP213" s="12"/>
      <c r="BQ213" s="12"/>
      <c r="BR213" s="12"/>
      <c r="BS213" s="12"/>
      <c r="BT213" s="12"/>
      <c r="BU213" s="12"/>
      <c r="BV213" s="12"/>
    </row>
    <row r="214" spans="1:75" s="50" customFormat="1" ht="18" customHeight="1" x14ac:dyDescent="0.4">
      <c r="A214" s="856"/>
      <c r="B214" s="839" t="s">
        <v>85</v>
      </c>
      <c r="C214" s="869" t="s">
        <v>44</v>
      </c>
      <c r="D214" s="890" t="s">
        <v>44</v>
      </c>
      <c r="E214" s="11" t="s">
        <v>23</v>
      </c>
      <c r="F214" s="64"/>
      <c r="G214" s="10" t="s">
        <v>164</v>
      </c>
      <c r="H214" s="64"/>
      <c r="I214" s="11">
        <f t="shared" ref="I214:AR214" si="82">I$215-SUM(I$210:I$213)</f>
        <v>30.607000370725473</v>
      </c>
      <c r="J214" s="11">
        <f t="shared" si="82"/>
        <v>32.916770550103138</v>
      </c>
      <c r="K214" s="11">
        <f t="shared" si="82"/>
        <v>35.226540729481712</v>
      </c>
      <c r="L214" s="11">
        <f t="shared" si="82"/>
        <v>37.536310908859377</v>
      </c>
      <c r="M214" s="11">
        <f t="shared" si="82"/>
        <v>39.846081088237952</v>
      </c>
      <c r="N214" s="11">
        <f t="shared" si="82"/>
        <v>42.155851267615617</v>
      </c>
      <c r="O214" s="11">
        <f t="shared" si="82"/>
        <v>44.466140244847338</v>
      </c>
      <c r="P214" s="11">
        <f t="shared" si="82"/>
        <v>46.768101654966813</v>
      </c>
      <c r="Q214" s="11">
        <f t="shared" si="82"/>
        <v>49.088573652821651</v>
      </c>
      <c r="R214" s="11">
        <f t="shared" si="82"/>
        <v>51.395367004097352</v>
      </c>
      <c r="S214" s="11">
        <f t="shared" si="82"/>
        <v>48.622962430822554</v>
      </c>
      <c r="T214" s="11">
        <f t="shared" si="82"/>
        <v>50.548104173557476</v>
      </c>
      <c r="U214" s="11">
        <f t="shared" si="82"/>
        <v>52.470686077544087</v>
      </c>
      <c r="V214" s="11">
        <f t="shared" si="82"/>
        <v>54.398324141696321</v>
      </c>
      <c r="W214" s="11">
        <f t="shared" si="82"/>
        <v>56.111717049467188</v>
      </c>
      <c r="X214" s="704">
        <f t="shared" si="82"/>
        <v>58.034931434498503</v>
      </c>
      <c r="Y214" s="11">
        <f t="shared" si="82"/>
        <v>60.655283053370113</v>
      </c>
      <c r="Z214" s="11">
        <f t="shared" si="82"/>
        <v>61.841899768905023</v>
      </c>
      <c r="AA214" s="11">
        <f t="shared" si="82"/>
        <v>63.979033298383001</v>
      </c>
      <c r="AB214" s="11">
        <f t="shared" si="82"/>
        <v>65.884472147194174</v>
      </c>
      <c r="AC214" s="11">
        <f t="shared" si="82"/>
        <v>50.616807397475895</v>
      </c>
      <c r="AD214" s="11">
        <f t="shared" si="82"/>
        <v>48.945145804827007</v>
      </c>
      <c r="AE214" s="11">
        <f t="shared" si="82"/>
        <v>47.560741841220988</v>
      </c>
      <c r="AF214" s="11">
        <f t="shared" si="82"/>
        <v>46.039473517285842</v>
      </c>
      <c r="AG214" s="11">
        <f t="shared" si="82"/>
        <v>44.42386498198357</v>
      </c>
      <c r="AH214" s="11">
        <f t="shared" si="82"/>
        <v>43.040364019388107</v>
      </c>
      <c r="AI214" s="11">
        <f t="shared" si="82"/>
        <v>41.498367910937304</v>
      </c>
      <c r="AJ214" s="11">
        <f t="shared" si="82"/>
        <v>39.919356681763929</v>
      </c>
      <c r="AK214" s="11">
        <f t="shared" si="82"/>
        <v>27.861142249304066</v>
      </c>
      <c r="AL214" s="11">
        <f t="shared" si="82"/>
        <v>25.621925565548736</v>
      </c>
      <c r="AM214" s="11">
        <f t="shared" si="82"/>
        <v>39.735400355536513</v>
      </c>
      <c r="AN214" s="11">
        <f t="shared" si="82"/>
        <v>49.536949132182599</v>
      </c>
      <c r="AO214" s="11">
        <f t="shared" si="82"/>
        <v>22.924044700901504</v>
      </c>
      <c r="AP214" s="11">
        <f t="shared" si="82"/>
        <v>25.005070861629974</v>
      </c>
      <c r="AQ214" s="11">
        <f t="shared" si="82"/>
        <v>26.561501825798587</v>
      </c>
      <c r="AR214" s="11">
        <f t="shared" si="82"/>
        <v>32.763450946138619</v>
      </c>
      <c r="AS214" s="800"/>
      <c r="AT214" s="12"/>
      <c r="AU214" s="12"/>
      <c r="AV214" s="12"/>
      <c r="AW214" s="689"/>
      <c r="AX214" s="12"/>
      <c r="AY214" s="12"/>
      <c r="AZ214" s="12"/>
      <c r="BA214" s="12"/>
      <c r="BB214" s="791"/>
      <c r="BC214" s="12"/>
      <c r="BD214" s="12"/>
      <c r="BE214" s="12"/>
      <c r="BF214" s="12"/>
      <c r="BG214" s="12"/>
      <c r="BH214" s="12"/>
      <c r="BI214" s="12"/>
      <c r="BJ214" s="12"/>
      <c r="BK214" s="12"/>
      <c r="BL214" s="12"/>
      <c r="BM214" s="12"/>
      <c r="BN214" s="12"/>
      <c r="BO214" s="12"/>
      <c r="BP214" s="12"/>
      <c r="BQ214" s="12"/>
      <c r="BR214" s="12"/>
      <c r="BS214" s="12"/>
      <c r="BT214" s="12"/>
      <c r="BU214" s="12"/>
      <c r="BV214" s="12"/>
    </row>
    <row r="215" spans="1:75" s="50" customFormat="1" ht="18" customHeight="1" x14ac:dyDescent="0.4">
      <c r="A215" s="856"/>
      <c r="B215" s="839" t="s">
        <v>41</v>
      </c>
      <c r="C215" s="869" t="s">
        <v>44</v>
      </c>
      <c r="D215" s="890" t="s">
        <v>44</v>
      </c>
      <c r="E215" s="25" t="s">
        <v>117</v>
      </c>
      <c r="F215" s="89"/>
      <c r="G215" s="10"/>
      <c r="H215" s="89"/>
      <c r="I215" s="14">
        <v>6686.454313606826</v>
      </c>
      <c r="J215" s="14">
        <v>6685.0202235171337</v>
      </c>
      <c r="K215" s="14">
        <v>6663.2169067691866</v>
      </c>
      <c r="L215" s="14">
        <v>6669.3083738154355</v>
      </c>
      <c r="M215" s="14">
        <v>6657.1923183116323</v>
      </c>
      <c r="N215" s="14">
        <v>6639.2515600132165</v>
      </c>
      <c r="O215" s="14">
        <v>6631.0041889272552</v>
      </c>
      <c r="P215" s="14">
        <v>6623.2007102001162</v>
      </c>
      <c r="Q215" s="14">
        <v>6621.2202179674096</v>
      </c>
      <c r="R215" s="14">
        <v>6626.2895909164645</v>
      </c>
      <c r="S215" s="14">
        <v>6627.0917098425798</v>
      </c>
      <c r="T215" s="14">
        <v>6635.6169158801713</v>
      </c>
      <c r="U215" s="14">
        <v>6650.7542966270348</v>
      </c>
      <c r="V215" s="14">
        <v>6645.931007501651</v>
      </c>
      <c r="W215" s="14">
        <v>6648.2752466558841</v>
      </c>
      <c r="X215" s="691">
        <v>6649.0651614084263</v>
      </c>
      <c r="Y215" s="14">
        <v>6701.8993151518289</v>
      </c>
      <c r="Z215" s="14">
        <v>6608.2128435144768</v>
      </c>
      <c r="AA215" s="14">
        <v>6653.3721634659805</v>
      </c>
      <c r="AB215" s="14">
        <v>6614.9226945770424</v>
      </c>
      <c r="AC215" s="14">
        <v>6555.7447263429913</v>
      </c>
      <c r="AD215" s="14">
        <v>6499.865492560536</v>
      </c>
      <c r="AE215" s="14">
        <v>6472.5162741129907</v>
      </c>
      <c r="AF215" s="14">
        <v>6438.3935936842572</v>
      </c>
      <c r="AG215" s="14">
        <v>6399.3362065429774</v>
      </c>
      <c r="AH215" s="14">
        <v>6357.2629262272067</v>
      </c>
      <c r="AI215" s="14">
        <v>6304.5506896083052</v>
      </c>
      <c r="AJ215" s="14">
        <v>6242.2890424563357</v>
      </c>
      <c r="AK215" s="14">
        <v>6185.5200768579052</v>
      </c>
      <c r="AL215" s="14">
        <v>6163.9282828910355</v>
      </c>
      <c r="AM215" s="14">
        <v>6154.28878926166</v>
      </c>
      <c r="AN215" s="14">
        <v>6134.8460844575247</v>
      </c>
      <c r="AO215" s="14">
        <v>6130.5054274400427</v>
      </c>
      <c r="AP215" s="14">
        <v>6162.5485425178977</v>
      </c>
      <c r="AQ215" s="14">
        <v>6215.9163201146666</v>
      </c>
      <c r="AR215" s="14">
        <v>6080.3410384327608</v>
      </c>
      <c r="AS215" s="12"/>
      <c r="AT215" s="12"/>
      <c r="AU215" s="12"/>
      <c r="AV215" s="12"/>
      <c r="AW215" s="689"/>
      <c r="AX215" s="12"/>
      <c r="AY215" s="12"/>
      <c r="AZ215" s="12"/>
      <c r="BA215" s="12"/>
      <c r="BB215" s="791"/>
      <c r="BC215" s="12"/>
      <c r="BD215" s="12"/>
      <c r="BE215" s="12"/>
      <c r="BF215" s="12"/>
      <c r="BG215" s="12"/>
      <c r="BH215" s="12"/>
      <c r="BI215" s="12"/>
      <c r="BJ215" s="12"/>
      <c r="BK215" s="12"/>
      <c r="BL215" s="12"/>
      <c r="BM215" s="12"/>
      <c r="BN215" s="12"/>
      <c r="BO215" s="12"/>
      <c r="BP215" s="12"/>
      <c r="BQ215" s="12"/>
      <c r="BR215" s="12"/>
      <c r="BS215" s="12"/>
      <c r="BT215" s="12"/>
      <c r="BU215" s="12"/>
      <c r="BV215" s="12"/>
    </row>
    <row r="216" spans="1:75" x14ac:dyDescent="0.4">
      <c r="B216" s="839"/>
      <c r="C216" s="876"/>
      <c r="D216" s="890" t="s">
        <v>44</v>
      </c>
      <c r="E216" s="5"/>
      <c r="F216" s="429"/>
      <c r="G216" s="5"/>
      <c r="H216" s="429"/>
      <c r="I216" s="5"/>
      <c r="J216" s="5"/>
      <c r="K216" s="5"/>
      <c r="L216" s="5"/>
      <c r="M216" s="5"/>
      <c r="N216" s="5"/>
      <c r="O216" s="5"/>
      <c r="P216" s="5"/>
      <c r="Q216" s="5"/>
      <c r="R216" s="5"/>
      <c r="S216" s="5"/>
      <c r="T216" s="5"/>
      <c r="U216" s="5"/>
      <c r="V216" s="5"/>
      <c r="W216" s="5"/>
      <c r="X216" s="793"/>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621"/>
      <c r="AX216" s="5"/>
      <c r="AY216" s="5"/>
      <c r="AZ216" s="5"/>
      <c r="BA216" s="5"/>
      <c r="BB216" s="793"/>
      <c r="BC216" s="5"/>
      <c r="BD216" s="5"/>
      <c r="BE216" s="5"/>
      <c r="BF216" s="5"/>
      <c r="BG216" s="5"/>
      <c r="BH216" s="5"/>
      <c r="BI216" s="5"/>
      <c r="BJ216" s="5"/>
      <c r="BK216" s="5"/>
      <c r="BL216" s="5"/>
      <c r="BM216" s="5"/>
      <c r="BN216" s="5"/>
      <c r="BO216" s="5"/>
      <c r="BP216" s="5"/>
      <c r="BQ216" s="5"/>
      <c r="BR216" s="5"/>
      <c r="BS216" s="5"/>
      <c r="BT216" s="5"/>
      <c r="BU216" s="5"/>
      <c r="BV216" s="5"/>
    </row>
    <row r="217" spans="1:75" x14ac:dyDescent="0.4">
      <c r="B217" s="839"/>
      <c r="C217" s="869" t="s">
        <v>44</v>
      </c>
      <c r="D217" s="890" t="s">
        <v>44</v>
      </c>
      <c r="E217" s="624" t="str">
        <f>$E$14</f>
        <v>Losunarspá: Sviðsmynd byggð á aðgerðum stjórnvalda</v>
      </c>
      <c r="F217" s="624"/>
      <c r="G217" s="624" t="str">
        <f>$G$14</f>
        <v>Emission Projections: Government Policy-Based Scenario</v>
      </c>
      <c r="H217" s="624"/>
      <c r="I217" s="5"/>
      <c r="J217" s="5"/>
      <c r="K217" s="5"/>
      <c r="L217" s="5"/>
      <c r="M217" s="5"/>
      <c r="N217" s="5"/>
      <c r="O217" s="5"/>
      <c r="P217" s="5"/>
      <c r="Q217" s="5"/>
      <c r="R217" s="5"/>
      <c r="S217" s="5"/>
      <c r="T217" s="5"/>
      <c r="U217" s="5"/>
      <c r="V217" s="5"/>
      <c r="W217" s="5"/>
      <c r="X217" s="793"/>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621"/>
      <c r="AX217" s="5"/>
      <c r="AY217" s="5"/>
      <c r="AZ217" s="5"/>
      <c r="BA217" s="5"/>
      <c r="BB217" s="793"/>
      <c r="BC217" s="5"/>
      <c r="BD217" s="5"/>
      <c r="BE217" s="5"/>
      <c r="BF217" s="5"/>
      <c r="BG217" s="5"/>
      <c r="BH217" s="5"/>
      <c r="BI217" s="5"/>
      <c r="BJ217" s="5"/>
      <c r="BK217" s="5"/>
      <c r="BL217" s="5"/>
      <c r="BM217" s="5"/>
      <c r="BN217" s="5"/>
      <c r="BO217" s="5"/>
      <c r="BP217" s="5"/>
      <c r="BQ217" s="5"/>
      <c r="BR217" s="5"/>
      <c r="BS217" s="5"/>
      <c r="BT217" s="5"/>
      <c r="BU217" s="5"/>
      <c r="BV217" s="5"/>
    </row>
    <row r="218" spans="1:75" s="50" customFormat="1" ht="18" customHeight="1" x14ac:dyDescent="0.4">
      <c r="A218" s="856"/>
      <c r="B218" s="839" t="s">
        <v>68</v>
      </c>
      <c r="C218" s="866" t="str">
        <f t="shared" ref="C218:C222" si="83">B218&amp;" "&amp;D218</f>
        <v>4.A Forest Landkt CO2-eq WEM</v>
      </c>
      <c r="D218" s="891" t="s">
        <v>377</v>
      </c>
      <c r="E218" s="11" t="s">
        <v>84</v>
      </c>
      <c r="F218" s="64"/>
      <c r="G218" s="10" t="s">
        <v>174</v>
      </c>
      <c r="H218" s="64"/>
      <c r="I218" s="12"/>
      <c r="J218" s="12"/>
      <c r="K218" s="12"/>
      <c r="L218" s="12"/>
      <c r="M218" s="12"/>
      <c r="N218" s="12"/>
      <c r="O218" s="12"/>
      <c r="P218" s="12"/>
      <c r="Q218" s="12"/>
      <c r="R218" s="12"/>
      <c r="S218" s="12"/>
      <c r="T218" s="12"/>
      <c r="U218" s="12"/>
      <c r="V218" s="12"/>
      <c r="W218" s="12"/>
      <c r="X218" s="791"/>
      <c r="Y218" s="12"/>
      <c r="Z218" s="12"/>
      <c r="AA218" s="12"/>
      <c r="AB218" s="12"/>
      <c r="AC218" s="12"/>
      <c r="AD218" s="12"/>
      <c r="AE218" s="12"/>
      <c r="AF218" s="12"/>
      <c r="AG218" s="12"/>
      <c r="AH218" s="12"/>
      <c r="AI218" s="12"/>
      <c r="AJ218" s="12"/>
      <c r="AK218" s="12"/>
      <c r="AL218" s="12"/>
      <c r="AM218" s="12"/>
      <c r="AN218" s="12"/>
      <c r="AO218" s="12"/>
      <c r="AP218" s="12"/>
      <c r="AQ218" s="12"/>
      <c r="AR218" s="168">
        <f t="shared" ref="AR218:AR223" si="84">AR210</f>
        <v>-569.03313713696218</v>
      </c>
      <c r="AS218" s="11">
        <v>-607.88738159883576</v>
      </c>
      <c r="AT218" s="11">
        <v>-645.36999498431226</v>
      </c>
      <c r="AU218" s="11">
        <v>-679.37893378488252</v>
      </c>
      <c r="AV218" s="11">
        <v>-714.05461069371995</v>
      </c>
      <c r="AW218" s="704">
        <v>-752.09903438702509</v>
      </c>
      <c r="AX218" s="11">
        <v>-789.80569345516653</v>
      </c>
      <c r="AY218" s="11">
        <v>-826.66010230243569</v>
      </c>
      <c r="AZ218" s="11">
        <v>-869.95668522307858</v>
      </c>
      <c r="BA218" s="11">
        <v>-910.98526056819503</v>
      </c>
      <c r="BB218" s="704">
        <v>-948.36229172077776</v>
      </c>
      <c r="BC218" s="11">
        <v>-988.28713278063674</v>
      </c>
      <c r="BD218" s="11">
        <v>-1028.324464626492</v>
      </c>
      <c r="BE218" s="11">
        <v>-1066.7369659405729</v>
      </c>
      <c r="BF218" s="11">
        <v>-1108.0312701916941</v>
      </c>
      <c r="BG218" s="11">
        <v>-1148.2109624656555</v>
      </c>
      <c r="BH218" s="11">
        <v>-1191.6314618479707</v>
      </c>
      <c r="BI218" s="11">
        <v>-1233.3537347775421</v>
      </c>
      <c r="BJ218" s="11">
        <v>-1279.0524697967167</v>
      </c>
      <c r="BK218" s="11">
        <v>-1332.5210086059276</v>
      </c>
      <c r="BL218" s="11">
        <v>-1377.5163702847128</v>
      </c>
      <c r="BM218" s="11">
        <v>-1435.0245260504175</v>
      </c>
      <c r="BN218" s="11">
        <v>-1491.5272093328688</v>
      </c>
      <c r="BO218" s="11">
        <v>-1544.4247782579375</v>
      </c>
      <c r="BP218" s="11">
        <v>-1597.0856801245097</v>
      </c>
      <c r="BQ218" s="11">
        <v>-1651.2351492616906</v>
      </c>
      <c r="BR218" s="11">
        <v>-1710.016971790511</v>
      </c>
      <c r="BS218" s="11">
        <v>-1762.4804915476409</v>
      </c>
      <c r="BT218" s="11">
        <v>-1818.8844526584987</v>
      </c>
      <c r="BU218" s="11">
        <v>-1879.1976143178231</v>
      </c>
      <c r="BV218" s="11">
        <v>-1935.487645372772</v>
      </c>
    </row>
    <row r="219" spans="1:75" s="50" customFormat="1" ht="18" customHeight="1" x14ac:dyDescent="0.4">
      <c r="A219" s="856"/>
      <c r="B219" s="839" t="s">
        <v>69</v>
      </c>
      <c r="C219" s="866" t="str">
        <f t="shared" si="83"/>
        <v>4.B Croplandkt CO2-eq WEM</v>
      </c>
      <c r="D219" s="891" t="s">
        <v>377</v>
      </c>
      <c r="E219" s="11" t="s">
        <v>108</v>
      </c>
      <c r="F219" s="64"/>
      <c r="G219" s="10" t="s">
        <v>130</v>
      </c>
      <c r="H219" s="64"/>
      <c r="I219" s="12"/>
      <c r="J219" s="12"/>
      <c r="K219" s="12"/>
      <c r="L219" s="12"/>
      <c r="M219" s="12"/>
      <c r="N219" s="12"/>
      <c r="O219" s="12"/>
      <c r="P219" s="12"/>
      <c r="Q219" s="12"/>
      <c r="R219" s="12"/>
      <c r="S219" s="12"/>
      <c r="T219" s="12"/>
      <c r="U219" s="12"/>
      <c r="V219" s="12"/>
      <c r="W219" s="12"/>
      <c r="X219" s="791"/>
      <c r="Y219" s="12"/>
      <c r="Z219" s="12"/>
      <c r="AA219" s="12"/>
      <c r="AB219" s="12"/>
      <c r="AC219" s="12"/>
      <c r="AD219" s="12"/>
      <c r="AE219" s="12"/>
      <c r="AF219" s="12"/>
      <c r="AG219" s="12"/>
      <c r="AH219" s="12"/>
      <c r="AI219" s="12"/>
      <c r="AJ219" s="12"/>
      <c r="AK219" s="12"/>
      <c r="AL219" s="12"/>
      <c r="AM219" s="12"/>
      <c r="AN219" s="12"/>
      <c r="AO219" s="12"/>
      <c r="AP219" s="12"/>
      <c r="AQ219" s="12"/>
      <c r="AR219" s="168">
        <f t="shared" si="84"/>
        <v>1574.5549406841444</v>
      </c>
      <c r="AS219" s="11">
        <v>1586.4616951439084</v>
      </c>
      <c r="AT219" s="11">
        <v>1586.383175889762</v>
      </c>
      <c r="AU219" s="11">
        <v>1586.3048742539411</v>
      </c>
      <c r="AV219" s="11">
        <v>1586.7719352788508</v>
      </c>
      <c r="AW219" s="704">
        <v>1587.2392129366028</v>
      </c>
      <c r="AX219" s="11">
        <v>1587.7067067369642</v>
      </c>
      <c r="AY219" s="11">
        <v>1588.174416191363</v>
      </c>
      <c r="AZ219" s="11">
        <v>1588.6423408128824</v>
      </c>
      <c r="BA219" s="11">
        <v>1589.1104801162537</v>
      </c>
      <c r="BB219" s="704">
        <v>1590.8460198998769</v>
      </c>
      <c r="BC219" s="11">
        <v>1590.4085507931536</v>
      </c>
      <c r="BD219" s="11">
        <v>1590.8769572605454</v>
      </c>
      <c r="BE219" s="11">
        <v>1591.3455769048708</v>
      </c>
      <c r="BF219" s="11">
        <v>1591.8144092480452</v>
      </c>
      <c r="BG219" s="11">
        <v>1592.2834538135901</v>
      </c>
      <c r="BH219" s="11">
        <v>1592.752710126626</v>
      </c>
      <c r="BI219" s="11">
        <v>1589.054441615966</v>
      </c>
      <c r="BJ219" s="11">
        <v>1587.715348650567</v>
      </c>
      <c r="BK219" s="11">
        <v>1585.4019401435598</v>
      </c>
      <c r="BL219" s="11">
        <v>1585.8720387295018</v>
      </c>
      <c r="BM219" s="11">
        <v>1585.9638471717451</v>
      </c>
      <c r="BN219" s="11">
        <v>1586.0558645453912</v>
      </c>
      <c r="BO219" s="11">
        <v>1586.148090386557</v>
      </c>
      <c r="BP219" s="11">
        <v>1586.2405242329032</v>
      </c>
      <c r="BQ219" s="11">
        <v>1586.3331656236278</v>
      </c>
      <c r="BR219" s="11">
        <v>1586.4260140994568</v>
      </c>
      <c r="BS219" s="11">
        <v>1586.5190692026401</v>
      </c>
      <c r="BT219" s="11">
        <v>1586.612330476944</v>
      </c>
      <c r="BU219" s="11">
        <v>1586.7057974676429</v>
      </c>
      <c r="BV219" s="11">
        <v>1586.7994697215147</v>
      </c>
    </row>
    <row r="220" spans="1:75" s="50" customFormat="1" ht="18" customHeight="1" x14ac:dyDescent="0.4">
      <c r="A220" s="856"/>
      <c r="B220" s="839" t="s">
        <v>70</v>
      </c>
      <c r="C220" s="866" t="str">
        <f t="shared" si="83"/>
        <v>4.C Grasslandkt CO2-eq WEM</v>
      </c>
      <c r="D220" s="891" t="s">
        <v>377</v>
      </c>
      <c r="E220" s="11" t="s">
        <v>28</v>
      </c>
      <c r="F220" s="64"/>
      <c r="G220" s="10" t="s">
        <v>131</v>
      </c>
      <c r="H220" s="64"/>
      <c r="I220" s="12"/>
      <c r="J220" s="12"/>
      <c r="K220" s="12"/>
      <c r="L220" s="12"/>
      <c r="M220" s="12"/>
      <c r="N220" s="12"/>
      <c r="O220" s="12"/>
      <c r="P220" s="12"/>
      <c r="Q220" s="12"/>
      <c r="R220" s="12"/>
      <c r="S220" s="12"/>
      <c r="T220" s="12"/>
      <c r="U220" s="12"/>
      <c r="V220" s="12"/>
      <c r="W220" s="12"/>
      <c r="X220" s="791"/>
      <c r="Y220" s="12"/>
      <c r="Z220" s="12"/>
      <c r="AA220" s="12"/>
      <c r="AB220" s="12"/>
      <c r="AC220" s="12"/>
      <c r="AD220" s="12"/>
      <c r="AE220" s="12"/>
      <c r="AF220" s="12"/>
      <c r="AG220" s="12"/>
      <c r="AH220" s="12"/>
      <c r="AI220" s="12"/>
      <c r="AJ220" s="12"/>
      <c r="AK220" s="12"/>
      <c r="AL220" s="12"/>
      <c r="AM220" s="12"/>
      <c r="AN220" s="12"/>
      <c r="AO220" s="12"/>
      <c r="AP220" s="12"/>
      <c r="AQ220" s="12"/>
      <c r="AR220" s="168">
        <f t="shared" si="84"/>
        <v>5024.8635353547543</v>
      </c>
      <c r="AS220" s="11">
        <v>4932.5260528629406</v>
      </c>
      <c r="AT220" s="11">
        <v>4842.022162207667</v>
      </c>
      <c r="AU220" s="11">
        <v>4751.8915931453566</v>
      </c>
      <c r="AV220" s="11">
        <v>4666.4532662077181</v>
      </c>
      <c r="AW220" s="704">
        <v>4583.2610903491659</v>
      </c>
      <c r="AX220" s="11">
        <v>4554.4854009525452</v>
      </c>
      <c r="AY220" s="11">
        <v>4526.5349021112925</v>
      </c>
      <c r="AZ220" s="11">
        <v>4502.3123934504747</v>
      </c>
      <c r="BA220" s="11">
        <v>4483.9135413600461</v>
      </c>
      <c r="BB220" s="704">
        <v>4471.6870754085439</v>
      </c>
      <c r="BC220" s="11">
        <v>4459.4573845531386</v>
      </c>
      <c r="BD220" s="11">
        <v>4480.5528309636366</v>
      </c>
      <c r="BE220" s="11">
        <v>4467.3651974799568</v>
      </c>
      <c r="BF220" s="11">
        <v>4454.2325430684014</v>
      </c>
      <c r="BG220" s="11">
        <v>4441.4207836901014</v>
      </c>
      <c r="BH220" s="11">
        <v>4420.9927217653649</v>
      </c>
      <c r="BI220" s="11">
        <v>4390.3978962480032</v>
      </c>
      <c r="BJ220" s="11">
        <v>4364.264904006508</v>
      </c>
      <c r="BK220" s="11">
        <v>4338.2417875516676</v>
      </c>
      <c r="BL220" s="11">
        <v>4308.3920693861883</v>
      </c>
      <c r="BM220" s="11">
        <v>4278.2201918673882</v>
      </c>
      <c r="BN220" s="11">
        <v>4247.6356528945189</v>
      </c>
      <c r="BO220" s="11">
        <v>4217.733676947033</v>
      </c>
      <c r="BP220" s="11">
        <v>4186.2915625906689</v>
      </c>
      <c r="BQ220" s="11">
        <v>4149.2501920298546</v>
      </c>
      <c r="BR220" s="11">
        <v>4112.8060655036788</v>
      </c>
      <c r="BS220" s="11">
        <v>4078.1683113845343</v>
      </c>
      <c r="BT220" s="11">
        <v>4041.8386234828918</v>
      </c>
      <c r="BU220" s="11">
        <v>4008.8901470312726</v>
      </c>
      <c r="BV220" s="11">
        <v>3977.9904343734015</v>
      </c>
    </row>
    <row r="221" spans="1:75" s="50" customFormat="1" ht="18" customHeight="1" x14ac:dyDescent="0.4">
      <c r="A221" s="856"/>
      <c r="B221" s="839" t="s">
        <v>71</v>
      </c>
      <c r="C221" s="866" t="str">
        <f t="shared" si="83"/>
        <v>4.D Wetlandskt CO2-eq WEM</v>
      </c>
      <c r="D221" s="891" t="s">
        <v>377</v>
      </c>
      <c r="E221" s="11" t="s">
        <v>29</v>
      </c>
      <c r="F221" s="64"/>
      <c r="G221" s="10" t="s">
        <v>132</v>
      </c>
      <c r="H221" s="64"/>
      <c r="I221" s="12"/>
      <c r="J221" s="12"/>
      <c r="K221" s="12"/>
      <c r="L221" s="12"/>
      <c r="M221" s="12"/>
      <c r="N221" s="12"/>
      <c r="O221" s="12"/>
      <c r="P221" s="12"/>
      <c r="Q221" s="12"/>
      <c r="R221" s="12"/>
      <c r="S221" s="12"/>
      <c r="T221" s="12"/>
      <c r="U221" s="12"/>
      <c r="V221" s="12"/>
      <c r="W221" s="12"/>
      <c r="X221" s="791"/>
      <c r="Y221" s="12"/>
      <c r="Z221" s="12"/>
      <c r="AA221" s="12"/>
      <c r="AB221" s="12"/>
      <c r="AC221" s="12"/>
      <c r="AD221" s="12"/>
      <c r="AE221" s="12"/>
      <c r="AF221" s="12"/>
      <c r="AG221" s="12"/>
      <c r="AH221" s="12"/>
      <c r="AI221" s="12"/>
      <c r="AJ221" s="12"/>
      <c r="AK221" s="12"/>
      <c r="AL221" s="12"/>
      <c r="AM221" s="12"/>
      <c r="AN221" s="12"/>
      <c r="AO221" s="12"/>
      <c r="AP221" s="12"/>
      <c r="AQ221" s="12"/>
      <c r="AR221" s="168">
        <f t="shared" si="84"/>
        <v>17.192248584685633</v>
      </c>
      <c r="AS221" s="11">
        <v>27.569728584685635</v>
      </c>
      <c r="AT221" s="11">
        <v>37.455983562744109</v>
      </c>
      <c r="AU221" s="11">
        <v>47.833463562744122</v>
      </c>
      <c r="AV221" s="11">
        <v>58.026466980082795</v>
      </c>
      <c r="AW221" s="704">
        <v>68.342902980082812</v>
      </c>
      <c r="AX221" s="11">
        <v>70.516912313416157</v>
      </c>
      <c r="AY221" s="11">
        <v>72.694148313416122</v>
      </c>
      <c r="AZ221" s="11">
        <v>74.871384313416129</v>
      </c>
      <c r="BA221" s="11">
        <v>76.929103698076872</v>
      </c>
      <c r="BB221" s="704">
        <v>79.10633969807688</v>
      </c>
      <c r="BC221" s="11">
        <v>81.25758333807687</v>
      </c>
      <c r="BD221" s="11">
        <v>83.434819338076863</v>
      </c>
      <c r="BE221" s="11">
        <v>85.612055338076843</v>
      </c>
      <c r="BF221" s="11">
        <v>87.789291338076879</v>
      </c>
      <c r="BG221" s="11">
        <v>89.966527338076872</v>
      </c>
      <c r="BH221" s="11">
        <v>92.143763338076866</v>
      </c>
      <c r="BI221" s="11">
        <v>94.320999338076859</v>
      </c>
      <c r="BJ221" s="11">
        <v>96.498235338076867</v>
      </c>
      <c r="BK221" s="11">
        <v>98.675471338076846</v>
      </c>
      <c r="BL221" s="11">
        <v>100.85270733807687</v>
      </c>
      <c r="BM221" s="11">
        <v>103.02994333807686</v>
      </c>
      <c r="BN221" s="11">
        <v>105.20717933807684</v>
      </c>
      <c r="BO221" s="11">
        <v>107.38441533807685</v>
      </c>
      <c r="BP221" s="11">
        <v>109.56165133807683</v>
      </c>
      <c r="BQ221" s="11">
        <v>111.73888733807686</v>
      </c>
      <c r="BR221" s="11">
        <v>113.91612333807687</v>
      </c>
      <c r="BS221" s="11">
        <v>116.09335933807687</v>
      </c>
      <c r="BT221" s="11">
        <v>118.27059533807689</v>
      </c>
      <c r="BU221" s="11">
        <v>120.44783133807685</v>
      </c>
      <c r="BV221" s="11">
        <v>122.62506733807689</v>
      </c>
    </row>
    <row r="222" spans="1:75" s="50" customFormat="1" ht="18" customHeight="1" x14ac:dyDescent="0.4">
      <c r="A222" s="856"/>
      <c r="B222" s="839" t="s">
        <v>85</v>
      </c>
      <c r="C222" s="866" t="str">
        <f t="shared" si="83"/>
        <v>LULUCF Annað WEM</v>
      </c>
      <c r="D222" s="891" t="s">
        <v>377</v>
      </c>
      <c r="E222" s="11" t="s">
        <v>23</v>
      </c>
      <c r="F222" s="64"/>
      <c r="G222" s="10" t="s">
        <v>164</v>
      </c>
      <c r="H222" s="64"/>
      <c r="I222" s="12"/>
      <c r="J222" s="12"/>
      <c r="K222" s="12"/>
      <c r="L222" s="12"/>
      <c r="M222" s="12"/>
      <c r="N222" s="12"/>
      <c r="O222" s="12"/>
      <c r="P222" s="12"/>
      <c r="Q222" s="12"/>
      <c r="R222" s="12"/>
      <c r="S222" s="12"/>
      <c r="T222" s="12"/>
      <c r="U222" s="12"/>
      <c r="V222" s="12"/>
      <c r="W222" s="12"/>
      <c r="X222" s="791"/>
      <c r="Y222" s="12"/>
      <c r="Z222" s="12"/>
      <c r="AA222" s="12"/>
      <c r="AB222" s="12"/>
      <c r="AC222" s="12"/>
      <c r="AD222" s="12"/>
      <c r="AE222" s="12"/>
      <c r="AF222" s="12"/>
      <c r="AG222" s="12"/>
      <c r="AH222" s="12"/>
      <c r="AI222" s="12"/>
      <c r="AJ222" s="12"/>
      <c r="AK222" s="12"/>
      <c r="AL222" s="12"/>
      <c r="AM222" s="12"/>
      <c r="AN222" s="12"/>
      <c r="AO222" s="12"/>
      <c r="AP222" s="12"/>
      <c r="AQ222" s="12"/>
      <c r="AR222" s="168">
        <f t="shared" si="84"/>
        <v>32.763450946138619</v>
      </c>
      <c r="AS222" s="11">
        <f>AS223-SUM(AS218:AS221)</f>
        <v>32.757361256578406</v>
      </c>
      <c r="AT222" s="11">
        <f t="shared" ref="AT222:BA222" si="85">AT223-SUM(AT218:AT221)</f>
        <v>32.719356057910773</v>
      </c>
      <c r="AU222" s="11">
        <f t="shared" si="85"/>
        <v>32.647392415559807</v>
      </c>
      <c r="AV222" s="11">
        <f t="shared" si="85"/>
        <v>32.629910369882964</v>
      </c>
      <c r="AW222" s="704">
        <f t="shared" si="85"/>
        <v>32.598154332262311</v>
      </c>
      <c r="AX222" s="11">
        <f t="shared" si="85"/>
        <v>32.58373048840167</v>
      </c>
      <c r="AY222" s="11">
        <f t="shared" si="85"/>
        <v>32.547127426004408</v>
      </c>
      <c r="AZ222" s="11">
        <f t="shared" si="85"/>
        <v>32.598171997316058</v>
      </c>
      <c r="BA222" s="11">
        <f t="shared" si="85"/>
        <v>32.604912718222295</v>
      </c>
      <c r="BB222" s="704">
        <f t="shared" ref="BB222:BO222" si="86">BB223-SUM(BB218:BB221)</f>
        <v>32.584874475192009</v>
      </c>
      <c r="BC222" s="11">
        <f t="shared" si="86"/>
        <v>32.607868729262918</v>
      </c>
      <c r="BD222" s="11">
        <f t="shared" si="86"/>
        <v>32.629863214259785</v>
      </c>
      <c r="BE222" s="11">
        <f t="shared" si="86"/>
        <v>32.610289275642572</v>
      </c>
      <c r="BF222" s="11">
        <f t="shared" si="86"/>
        <v>32.599278699379283</v>
      </c>
      <c r="BG222" s="11">
        <f t="shared" si="86"/>
        <v>32.610296674678466</v>
      </c>
      <c r="BH222" s="11">
        <f t="shared" si="86"/>
        <v>32.585410491502444</v>
      </c>
      <c r="BI222" s="11">
        <f t="shared" si="86"/>
        <v>32.574181024545396</v>
      </c>
      <c r="BJ222" s="11">
        <f t="shared" si="86"/>
        <v>32.580841707902437</v>
      </c>
      <c r="BK222" s="11">
        <f t="shared" si="86"/>
        <v>32.614143355626766</v>
      </c>
      <c r="BL222" s="11">
        <f t="shared" si="86"/>
        <v>32.622455265528515</v>
      </c>
      <c r="BM222" s="11">
        <f t="shared" si="86"/>
        <v>32.644576098605285</v>
      </c>
      <c r="BN222" s="11">
        <f t="shared" si="86"/>
        <v>32.677250055523473</v>
      </c>
      <c r="BO222" s="11">
        <f t="shared" si="86"/>
        <v>32.674050479925427</v>
      </c>
      <c r="BP222" s="11">
        <f t="shared" ref="BP222:BU222" si="87">BP223-SUM(BP218:BP221)</f>
        <v>32.589927176458332</v>
      </c>
      <c r="BQ222" s="11">
        <f t="shared" si="87"/>
        <v>32.564411347555506</v>
      </c>
      <c r="BR222" s="11">
        <f t="shared" si="87"/>
        <v>32.520226787743923</v>
      </c>
      <c r="BS222" s="11">
        <f t="shared" si="87"/>
        <v>32.487430154480535</v>
      </c>
      <c r="BT222" s="11">
        <f t="shared" si="87"/>
        <v>32.477218848349821</v>
      </c>
      <c r="BU222" s="11">
        <f t="shared" si="87"/>
        <v>32.470069405238064</v>
      </c>
      <c r="BV222" s="11">
        <f t="shared" ref="BV222" si="88">BV223-SUM(BV218:BV221)</f>
        <v>32.467548121219806</v>
      </c>
    </row>
    <row r="223" spans="1:75" s="50" customFormat="1" ht="18" customHeight="1" x14ac:dyDescent="0.4">
      <c r="A223" s="856"/>
      <c r="B223" s="839" t="s">
        <v>41</v>
      </c>
      <c r="C223" s="866" t="str">
        <f t="shared" ref="C223" si="89">B223&amp;" "&amp;D223</f>
        <v>4. LULUCFkt CO2-eq WEM</v>
      </c>
      <c r="D223" s="891" t="s">
        <v>377</v>
      </c>
      <c r="E223" s="25" t="s">
        <v>117</v>
      </c>
      <c r="F223" s="89"/>
      <c r="G223" s="10"/>
      <c r="H223" s="89"/>
      <c r="I223" s="12"/>
      <c r="J223" s="12"/>
      <c r="K223" s="12"/>
      <c r="L223" s="12"/>
      <c r="M223" s="12"/>
      <c r="N223" s="12"/>
      <c r="O223" s="12"/>
      <c r="P223" s="12"/>
      <c r="Q223" s="12"/>
      <c r="R223" s="12"/>
      <c r="S223" s="12"/>
      <c r="T223" s="12"/>
      <c r="U223" s="12"/>
      <c r="V223" s="12"/>
      <c r="W223" s="12"/>
      <c r="X223" s="791"/>
      <c r="Y223" s="12"/>
      <c r="Z223" s="12"/>
      <c r="AA223" s="12"/>
      <c r="AB223" s="12"/>
      <c r="AC223" s="12"/>
      <c r="AD223" s="12"/>
      <c r="AE223" s="12"/>
      <c r="AF223" s="12"/>
      <c r="AG223" s="12"/>
      <c r="AH223" s="12"/>
      <c r="AI223" s="12"/>
      <c r="AJ223" s="12"/>
      <c r="AK223" s="12"/>
      <c r="AL223" s="12"/>
      <c r="AM223" s="12"/>
      <c r="AN223" s="12"/>
      <c r="AO223" s="12"/>
      <c r="AP223" s="12"/>
      <c r="AQ223" s="12"/>
      <c r="AR223" s="168">
        <f t="shared" si="84"/>
        <v>6080.3410384327608</v>
      </c>
      <c r="AS223" s="14">
        <v>5971.4274562492774</v>
      </c>
      <c r="AT223" s="14">
        <v>5853.210682733772</v>
      </c>
      <c r="AU223" s="14">
        <v>5739.2983895927191</v>
      </c>
      <c r="AV223" s="14">
        <v>5629.8269681428146</v>
      </c>
      <c r="AW223" s="691">
        <v>5519.3423262110891</v>
      </c>
      <c r="AX223" s="14">
        <v>5455.4870570361609</v>
      </c>
      <c r="AY223" s="14">
        <v>5393.2904917396399</v>
      </c>
      <c r="AZ223" s="14">
        <v>5328.4676053510111</v>
      </c>
      <c r="BA223" s="14">
        <v>5271.5727773244034</v>
      </c>
      <c r="BB223" s="691">
        <v>5225.8620177609118</v>
      </c>
      <c r="BC223" s="14">
        <v>5175.4442546329956</v>
      </c>
      <c r="BD223" s="14">
        <v>5159.170006150026</v>
      </c>
      <c r="BE223" s="14">
        <v>5110.1961530579738</v>
      </c>
      <c r="BF223" s="14">
        <v>5058.4042521622086</v>
      </c>
      <c r="BG223" s="14">
        <v>5008.0700990507912</v>
      </c>
      <c r="BH223" s="14">
        <v>4946.8431438735988</v>
      </c>
      <c r="BI223" s="14">
        <v>4872.9937834490493</v>
      </c>
      <c r="BJ223" s="14">
        <v>4802.006859906337</v>
      </c>
      <c r="BK223" s="14">
        <v>4722.4123337830033</v>
      </c>
      <c r="BL223" s="14">
        <v>4650.2229004345827</v>
      </c>
      <c r="BM223" s="14">
        <v>4564.8340324253977</v>
      </c>
      <c r="BN223" s="14">
        <v>4480.0487375006414</v>
      </c>
      <c r="BO223" s="14">
        <v>4399.5154548936544</v>
      </c>
      <c r="BP223" s="14">
        <v>4317.597985213597</v>
      </c>
      <c r="BQ223" s="14">
        <v>4228.651507077424</v>
      </c>
      <c r="BR223" s="14">
        <v>4135.6514579384448</v>
      </c>
      <c r="BS223" s="14">
        <v>4050.7876785320909</v>
      </c>
      <c r="BT223" s="14">
        <v>3960.3143154877635</v>
      </c>
      <c r="BU223" s="14">
        <v>3869.3162309244071</v>
      </c>
      <c r="BV223" s="14">
        <v>3784.3948741814406</v>
      </c>
      <c r="BW223" s="171"/>
    </row>
    <row r="224" spans="1:75" x14ac:dyDescent="0.4">
      <c r="B224" s="839"/>
      <c r="C224" s="867" t="s">
        <v>44</v>
      </c>
      <c r="D224" s="891"/>
      <c r="E224" s="5"/>
      <c r="F224" s="429"/>
      <c r="G224" s="5"/>
      <c r="H224" s="429"/>
      <c r="I224" s="5"/>
      <c r="J224" s="5"/>
      <c r="K224" s="5"/>
      <c r="L224" s="5"/>
      <c r="M224" s="5"/>
      <c r="N224" s="5"/>
      <c r="O224" s="5"/>
      <c r="P224" s="5"/>
      <c r="Q224" s="5"/>
      <c r="R224" s="5"/>
      <c r="S224" s="5"/>
      <c r="T224" s="5"/>
      <c r="U224" s="5"/>
      <c r="V224" s="5"/>
      <c r="W224" s="5"/>
      <c r="X224" s="793"/>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1323"/>
      <c r="BC224" s="5"/>
      <c r="BD224" s="5"/>
      <c r="BE224" s="5"/>
      <c r="BF224" s="5"/>
      <c r="BG224" s="5"/>
      <c r="BH224" s="5"/>
      <c r="BI224" s="5"/>
      <c r="BJ224" s="5"/>
      <c r="BK224" s="5"/>
      <c r="BL224" s="5"/>
      <c r="BM224" s="5"/>
      <c r="BN224" s="5"/>
      <c r="BO224" s="5"/>
      <c r="BP224" s="5"/>
      <c r="BQ224" s="5"/>
      <c r="BR224" s="5"/>
      <c r="BS224" s="5"/>
      <c r="BT224" s="5"/>
      <c r="BU224" s="5"/>
      <c r="BV224" s="5"/>
    </row>
    <row r="225" spans="1:74" s="50" customFormat="1" x14ac:dyDescent="0.4">
      <c r="A225" s="856"/>
      <c r="B225" s="839"/>
      <c r="C225" s="876"/>
      <c r="D225" s="885"/>
      <c r="E225" s="5"/>
      <c r="F225" s="429"/>
      <c r="G225" s="5"/>
      <c r="H225" s="429"/>
      <c r="I225" s="5"/>
      <c r="J225" s="5"/>
      <c r="K225" s="5"/>
      <c r="L225" s="5"/>
      <c r="M225" s="5"/>
      <c r="N225" s="5"/>
      <c r="O225" s="5"/>
      <c r="P225" s="5"/>
      <c r="Q225" s="5"/>
      <c r="R225" s="5"/>
      <c r="S225" s="5"/>
      <c r="T225" s="5"/>
      <c r="U225" s="5"/>
      <c r="V225" s="5"/>
      <c r="W225" s="5"/>
      <c r="X225" s="793"/>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793"/>
      <c r="BC225" s="5"/>
      <c r="BD225" s="5"/>
      <c r="BE225" s="5"/>
      <c r="BF225" s="5"/>
      <c r="BG225" s="5"/>
      <c r="BH225" s="5"/>
      <c r="BI225" s="5"/>
      <c r="BJ225" s="5"/>
      <c r="BK225" s="5"/>
      <c r="BL225" s="5"/>
      <c r="BM225" s="5"/>
      <c r="BN225" s="5"/>
      <c r="BO225" s="5"/>
      <c r="BP225" s="5"/>
      <c r="BQ225" s="5"/>
      <c r="BR225" s="5"/>
      <c r="BS225" s="5"/>
      <c r="BT225" s="5"/>
      <c r="BU225" s="5"/>
      <c r="BV225" s="5"/>
    </row>
    <row r="226" spans="1:74" s="1181" customFormat="1" ht="47.4" customHeight="1" x14ac:dyDescent="0.75">
      <c r="A226" s="990"/>
      <c r="B226" s="834"/>
      <c r="C226" s="991" t="s">
        <v>44</v>
      </c>
      <c r="D226" s="1149"/>
      <c r="E226" s="1175" t="s">
        <v>439</v>
      </c>
      <c r="F226" s="1025"/>
      <c r="G226" s="142"/>
      <c r="H226" s="1025"/>
      <c r="I226" s="143"/>
      <c r="J226" s="1176"/>
      <c r="K226" s="1176"/>
      <c r="L226" s="1176"/>
      <c r="M226" s="1176"/>
      <c r="N226" s="1176"/>
      <c r="O226" s="1176"/>
      <c r="P226" s="1176"/>
      <c r="Q226" s="1176"/>
      <c r="R226" s="1176"/>
      <c r="S226" s="1176"/>
      <c r="T226" s="1176"/>
      <c r="U226" s="1177"/>
      <c r="V226" s="1177"/>
      <c r="W226" s="1177"/>
      <c r="X226" s="1299"/>
      <c r="Y226" s="1177"/>
      <c r="Z226" s="1177"/>
      <c r="AA226" s="1177"/>
      <c r="AB226" s="1177"/>
      <c r="AC226" s="1177"/>
      <c r="AD226" s="1177"/>
      <c r="AE226" s="1177"/>
      <c r="AF226" s="1177"/>
      <c r="AG226" s="1177"/>
      <c r="AH226" s="1177"/>
      <c r="AI226" s="1177"/>
      <c r="AJ226" s="1177"/>
      <c r="AK226" s="1177"/>
      <c r="AL226" s="1177"/>
      <c r="AM226" s="1177"/>
      <c r="AN226" s="1177"/>
      <c r="AO226" s="1177"/>
      <c r="AP226" s="1177"/>
      <c r="AQ226" s="1177"/>
      <c r="AR226" s="1178"/>
      <c r="AS226" s="1178"/>
      <c r="AT226" s="1178"/>
      <c r="AU226" s="1178"/>
      <c r="AV226" s="1178"/>
      <c r="AW226" s="1179"/>
      <c r="AX226" s="1178"/>
      <c r="AY226" s="1178"/>
      <c r="AZ226" s="1178"/>
      <c r="BA226" s="1178"/>
      <c r="BB226" s="1180"/>
      <c r="BC226" s="1178"/>
      <c r="BD226" s="1178"/>
      <c r="BE226" s="1178"/>
      <c r="BF226" s="1178"/>
      <c r="BG226" s="1178"/>
      <c r="BH226" s="1178"/>
      <c r="BI226" s="1178"/>
      <c r="BJ226" s="1178"/>
      <c r="BK226" s="1178"/>
      <c r="BL226" s="1178"/>
      <c r="BM226" s="1178"/>
      <c r="BN226" s="1178"/>
      <c r="BO226" s="1178"/>
      <c r="BP226" s="1178"/>
      <c r="BQ226" s="1178"/>
      <c r="BR226" s="1178"/>
      <c r="BS226" s="1178"/>
      <c r="BT226" s="1178"/>
      <c r="BU226" s="1178"/>
      <c r="BV226" s="1178"/>
    </row>
    <row r="227" spans="1:74" s="1254" customFormat="1" ht="48" customHeight="1" x14ac:dyDescent="0.4">
      <c r="A227" s="1247"/>
      <c r="B227" s="838"/>
      <c r="C227" s="877"/>
      <c r="D227" s="1225"/>
      <c r="E227" s="1248"/>
      <c r="F227" s="1249"/>
      <c r="G227" s="1250"/>
      <c r="H227" s="1249"/>
      <c r="I227" s="1251"/>
      <c r="J227" s="1252"/>
      <c r="K227" s="1252"/>
      <c r="L227" s="1252"/>
      <c r="M227" s="1252"/>
      <c r="N227" s="1252"/>
      <c r="O227" s="1252"/>
      <c r="P227" s="1252"/>
      <c r="Q227" s="1252"/>
      <c r="R227" s="1252"/>
      <c r="S227" s="1252"/>
      <c r="T227" s="1252"/>
      <c r="U227" s="1252"/>
      <c r="V227" s="1252"/>
      <c r="W227" s="1252"/>
      <c r="X227" s="1253"/>
      <c r="Y227" s="1252"/>
      <c r="Z227" s="1252"/>
      <c r="AA227" s="1252"/>
      <c r="AB227" s="1252"/>
      <c r="AC227" s="1252"/>
      <c r="AD227" s="1252"/>
      <c r="AE227" s="1252"/>
      <c r="AF227" s="1252"/>
      <c r="AG227" s="1252"/>
      <c r="AH227" s="1252"/>
      <c r="AI227" s="1252"/>
      <c r="AJ227" s="1252"/>
      <c r="AK227" s="1252"/>
      <c r="AL227" s="1252"/>
      <c r="AM227" s="1252"/>
      <c r="AN227" s="1252"/>
      <c r="AO227" s="1252"/>
      <c r="AP227" s="1252"/>
      <c r="AQ227" s="1252"/>
      <c r="AR227" s="1252"/>
      <c r="AS227" s="1252"/>
      <c r="AT227" s="1252"/>
      <c r="AU227" s="1252"/>
      <c r="AV227" s="1252"/>
      <c r="AW227" s="1253"/>
      <c r="AX227" s="1252"/>
      <c r="AY227" s="1252"/>
      <c r="AZ227" s="1252"/>
      <c r="BA227" s="1252"/>
      <c r="BB227" s="1253"/>
      <c r="BC227" s="1252"/>
      <c r="BD227" s="1252"/>
      <c r="BE227" s="1252"/>
      <c r="BF227" s="1252"/>
      <c r="BG227" s="1252"/>
      <c r="BH227" s="1252"/>
      <c r="BI227" s="1252"/>
      <c r="BJ227" s="1252"/>
      <c r="BK227" s="1252"/>
      <c r="BL227" s="1252"/>
      <c r="BM227" s="1252"/>
      <c r="BN227" s="1252"/>
      <c r="BO227" s="1252"/>
      <c r="BP227" s="1252"/>
      <c r="BQ227" s="1252"/>
      <c r="BR227" s="1252"/>
      <c r="BS227" s="1252"/>
      <c r="BT227" s="1252"/>
      <c r="BU227" s="1252"/>
      <c r="BV227" s="1252"/>
    </row>
    <row r="228" spans="1:74" x14ac:dyDescent="0.4">
      <c r="B228" s="839"/>
      <c r="C228" s="876"/>
      <c r="D228" s="890" t="s">
        <v>44</v>
      </c>
      <c r="E228" s="5"/>
      <c r="F228" s="429"/>
      <c r="G228" s="5"/>
      <c r="H228" s="429"/>
      <c r="I228" s="5"/>
      <c r="J228" s="5"/>
      <c r="K228" s="5"/>
      <c r="L228" s="5"/>
      <c r="M228" s="5"/>
      <c r="N228" s="5"/>
      <c r="O228" s="5"/>
      <c r="P228" s="5"/>
      <c r="Q228" s="5"/>
      <c r="R228" s="5"/>
      <c r="S228" s="5"/>
      <c r="T228" s="5"/>
      <c r="U228" s="5"/>
      <c r="V228" s="5"/>
      <c r="W228" s="5"/>
      <c r="X228" s="793"/>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621"/>
      <c r="AX228" s="5"/>
      <c r="AY228" s="5"/>
      <c r="AZ228" s="5"/>
      <c r="BA228" s="5"/>
      <c r="BB228" s="793"/>
      <c r="BC228" s="5"/>
      <c r="BD228" s="5"/>
      <c r="BE228" s="5"/>
      <c r="BF228" s="5"/>
      <c r="BG228" s="5"/>
      <c r="BH228" s="5"/>
      <c r="BI228" s="5"/>
      <c r="BJ228" s="5"/>
      <c r="BK228" s="5"/>
      <c r="BL228" s="5"/>
      <c r="BM228" s="5"/>
      <c r="BN228" s="5"/>
      <c r="BO228" s="5"/>
      <c r="BP228" s="5"/>
      <c r="BQ228" s="5"/>
      <c r="BR228" s="5"/>
      <c r="BS228" s="5"/>
      <c r="BT228" s="5"/>
      <c r="BU228" s="5"/>
      <c r="BV228" s="5"/>
    </row>
    <row r="229" spans="1:74" s="50" customFormat="1" x14ac:dyDescent="0.4">
      <c r="A229" s="856"/>
      <c r="B229" s="833"/>
      <c r="C229" s="1002" t="s">
        <v>44</v>
      </c>
      <c r="D229" s="885"/>
      <c r="E229" s="53" t="str">
        <f>$E$5</f>
        <v>Söguleg losun</v>
      </c>
      <c r="F229" s="625"/>
      <c r="G229" s="53" t="s">
        <v>330</v>
      </c>
      <c r="H229" s="625"/>
      <c r="I229" s="4"/>
      <c r="J229" s="5" t="s">
        <v>44</v>
      </c>
      <c r="K229" s="6"/>
      <c r="L229" s="7"/>
      <c r="M229" s="8"/>
      <c r="N229" s="6"/>
      <c r="O229" s="6"/>
      <c r="P229" s="6"/>
      <c r="Q229" s="6"/>
      <c r="R229" s="6"/>
      <c r="S229" s="6"/>
      <c r="T229" s="6"/>
      <c r="U229" s="6"/>
      <c r="V229" s="6"/>
      <c r="W229" s="6"/>
      <c r="X229" s="1074"/>
      <c r="Y229" s="6"/>
      <c r="Z229" s="6"/>
      <c r="AA229" s="6"/>
      <c r="AB229" s="6"/>
      <c r="AC229" s="6"/>
      <c r="AD229" s="6"/>
      <c r="AE229" s="6"/>
      <c r="AF229" s="6"/>
      <c r="AG229" s="6"/>
      <c r="AH229" s="6"/>
      <c r="AI229" s="6"/>
      <c r="AJ229" s="6"/>
      <c r="AK229" s="6"/>
      <c r="AL229" s="188">
        <f>AL230/AK230-1</f>
        <v>-0.11261499685269993</v>
      </c>
      <c r="AM229" s="188">
        <f t="shared" ref="AM229:AR229" si="90">AM230/AL230-1</f>
        <v>0.14191984788484402</v>
      </c>
      <c r="AN229" s="188">
        <f t="shared" si="90"/>
        <v>2.824694727138799E-2</v>
      </c>
      <c r="AO229" s="188">
        <f t="shared" si="90"/>
        <v>-4.0423951497900568E-2</v>
      </c>
      <c r="AP229" s="188">
        <f t="shared" si="90"/>
        <v>-4.8962704256321654E-2</v>
      </c>
      <c r="AQ229" s="188">
        <f t="shared" si="90"/>
        <v>-5.9757784310165651E-2</v>
      </c>
      <c r="AR229" s="188">
        <f t="shared" si="90"/>
        <v>-8.8335313695762752E-2</v>
      </c>
      <c r="AS229" s="6"/>
      <c r="AT229" s="9"/>
      <c r="AU229" s="9"/>
      <c r="AV229" s="9"/>
      <c r="AW229" s="688"/>
      <c r="AX229" s="9"/>
      <c r="AY229" s="9"/>
      <c r="AZ229" s="9"/>
      <c r="BA229" s="9"/>
      <c r="BB229" s="790"/>
      <c r="BC229" s="9"/>
      <c r="BD229" s="9"/>
      <c r="BE229" s="9"/>
      <c r="BF229" s="9"/>
      <c r="BG229" s="9"/>
      <c r="BH229" s="9"/>
      <c r="BI229" s="9"/>
      <c r="BJ229" s="9"/>
      <c r="BK229" s="9"/>
      <c r="BL229" s="9"/>
      <c r="BM229" s="9"/>
      <c r="BN229" s="9"/>
      <c r="BO229" s="9"/>
      <c r="BP229" s="9"/>
      <c r="BQ229" s="9"/>
      <c r="BR229" s="9"/>
      <c r="BS229" s="9"/>
      <c r="BT229" s="9"/>
      <c r="BU229" s="9"/>
      <c r="BV229" s="9"/>
    </row>
    <row r="230" spans="1:74" s="50" customFormat="1" ht="18.600000000000001" customHeight="1" x14ac:dyDescent="0.4">
      <c r="A230" s="856"/>
      <c r="B230" s="842" t="s">
        <v>64</v>
      </c>
      <c r="C230" s="1002" t="s">
        <v>44</v>
      </c>
      <c r="D230" s="885"/>
      <c r="E230" s="11" t="s">
        <v>24</v>
      </c>
      <c r="F230" s="64"/>
      <c r="G230" s="10" t="s">
        <v>123</v>
      </c>
      <c r="H230" s="64"/>
      <c r="I230" s="11">
        <v>176.02098380225863</v>
      </c>
      <c r="J230" s="11">
        <v>180.28491383292641</v>
      </c>
      <c r="K230" s="11">
        <v>194.11608949846553</v>
      </c>
      <c r="L230" s="11">
        <v>205.60202469868796</v>
      </c>
      <c r="M230" s="11">
        <v>216.092886820442</v>
      </c>
      <c r="N230" s="11">
        <v>226.82667254968095</v>
      </c>
      <c r="O230" s="11">
        <v>233.56872747927753</v>
      </c>
      <c r="P230" s="11">
        <v>242.57233193390471</v>
      </c>
      <c r="Q230" s="11">
        <v>248.17410723716742</v>
      </c>
      <c r="R230" s="11">
        <v>255.13357524198324</v>
      </c>
      <c r="S230" s="11">
        <v>262.53053211703184</v>
      </c>
      <c r="T230" s="11">
        <v>273.11903276320379</v>
      </c>
      <c r="U230" s="11">
        <v>264.23788648238116</v>
      </c>
      <c r="V230" s="11">
        <v>270.90014745128161</v>
      </c>
      <c r="W230" s="11">
        <v>290.29902459421936</v>
      </c>
      <c r="X230" s="704">
        <v>284.74807820622914</v>
      </c>
      <c r="Y230" s="11">
        <v>309.54014118438505</v>
      </c>
      <c r="Z230" s="11">
        <v>308.77883319341538</v>
      </c>
      <c r="AA230" s="11">
        <v>293.71320675620075</v>
      </c>
      <c r="AB230" s="11">
        <v>284.40110159583026</v>
      </c>
      <c r="AC230" s="11">
        <v>281.06235084684624</v>
      </c>
      <c r="AD230" s="11">
        <v>260.51119721295925</v>
      </c>
      <c r="AE230" s="11">
        <v>238.50192990514384</v>
      </c>
      <c r="AF230" s="11">
        <v>238.68412953693718</v>
      </c>
      <c r="AG230" s="11">
        <v>237.2180456854561</v>
      </c>
      <c r="AH230" s="11">
        <v>234.12993414321605</v>
      </c>
      <c r="AI230" s="11">
        <v>231.33257548976107</v>
      </c>
      <c r="AJ230" s="11">
        <v>227.14669210059898</v>
      </c>
      <c r="AK230" s="11">
        <v>227.01313856700796</v>
      </c>
      <c r="AL230" s="11">
        <v>201.44805468176281</v>
      </c>
      <c r="AM230" s="11">
        <v>230.03753195889635</v>
      </c>
      <c r="AN230" s="11">
        <v>236.5353899945795</v>
      </c>
      <c r="AO230" s="11">
        <v>226.97369486190163</v>
      </c>
      <c r="AP230" s="11">
        <v>215.86044896641374</v>
      </c>
      <c r="AQ230" s="11">
        <v>202.96110681598327</v>
      </c>
      <c r="AR230" s="11">
        <v>185.03247377735417</v>
      </c>
      <c r="AS230" s="12"/>
      <c r="AT230" s="12"/>
      <c r="AU230" s="12"/>
      <c r="AV230" s="12"/>
      <c r="AW230" s="689"/>
      <c r="AX230" s="12"/>
      <c r="AY230" s="12"/>
      <c r="AZ230" s="12"/>
      <c r="BA230" s="12"/>
      <c r="BB230" s="791"/>
      <c r="BC230" s="12"/>
      <c r="BD230" s="12"/>
      <c r="BE230" s="12"/>
      <c r="BF230" s="12"/>
      <c r="BG230" s="12"/>
      <c r="BH230" s="12"/>
      <c r="BI230" s="12"/>
      <c r="BJ230" s="12"/>
      <c r="BK230" s="12"/>
      <c r="BL230" s="12"/>
      <c r="BM230" s="12"/>
      <c r="BN230" s="12"/>
      <c r="BO230" s="12"/>
      <c r="BP230" s="12"/>
      <c r="BQ230" s="12"/>
      <c r="BR230" s="12"/>
      <c r="BS230" s="12"/>
      <c r="BT230" s="12"/>
      <c r="BU230" s="12"/>
      <c r="BV230" s="12"/>
    </row>
    <row r="231" spans="1:74" s="50" customFormat="1" ht="18.600000000000001" customHeight="1" x14ac:dyDescent="0.4">
      <c r="A231" s="856"/>
      <c r="B231" s="842" t="s">
        <v>65</v>
      </c>
      <c r="C231" s="1002" t="s">
        <v>44</v>
      </c>
      <c r="D231" s="885"/>
      <c r="E231" s="11" t="s">
        <v>25</v>
      </c>
      <c r="F231" s="64"/>
      <c r="G231" s="10" t="s">
        <v>133</v>
      </c>
      <c r="H231" s="64"/>
      <c r="I231" s="11">
        <v>0</v>
      </c>
      <c r="J231" s="11">
        <v>0</v>
      </c>
      <c r="K231" s="11">
        <v>0</v>
      </c>
      <c r="L231" s="11">
        <v>0</v>
      </c>
      <c r="M231" s="11">
        <v>0</v>
      </c>
      <c r="N231" s="1116">
        <v>0.35120000000000001</v>
      </c>
      <c r="O231" s="1116">
        <v>0.35120000000000001</v>
      </c>
      <c r="P231" s="1116">
        <v>0.35120000000000001</v>
      </c>
      <c r="Q231" s="1116">
        <v>0.35120000000000001</v>
      </c>
      <c r="R231" s="1116">
        <v>0.35120000000000001</v>
      </c>
      <c r="S231" s="1116">
        <v>0.35120000000000001</v>
      </c>
      <c r="T231" s="1116">
        <v>0.35120000000000001</v>
      </c>
      <c r="U231" s="1116">
        <v>0.35120000000000001</v>
      </c>
      <c r="V231" s="1116">
        <v>0.52679999999999993</v>
      </c>
      <c r="W231" s="1116">
        <v>0.52679999999999993</v>
      </c>
      <c r="X231" s="1300">
        <v>0.878</v>
      </c>
      <c r="Y231" s="87">
        <v>1.4048</v>
      </c>
      <c r="Z231" s="87">
        <v>1.756</v>
      </c>
      <c r="AA231" s="87">
        <v>1.8625891999999999</v>
      </c>
      <c r="AB231" s="87">
        <v>2.2367794543999997</v>
      </c>
      <c r="AC231" s="87">
        <v>2.6769409079200002</v>
      </c>
      <c r="AD231" s="87">
        <v>2.5077241083999997</v>
      </c>
      <c r="AE231" s="87">
        <v>1.9630763</v>
      </c>
      <c r="AF231" s="87">
        <v>2.6282052</v>
      </c>
      <c r="AG231" s="87">
        <v>3.5365840000000004</v>
      </c>
      <c r="AH231" s="87">
        <v>3.7405258400000001</v>
      </c>
      <c r="AI231" s="87">
        <v>4.005311324</v>
      </c>
      <c r="AJ231" s="87">
        <v>3.8114029168000005</v>
      </c>
      <c r="AK231" s="87">
        <v>4.2153498204000002</v>
      </c>
      <c r="AL231" s="87">
        <v>4.1907507188000004</v>
      </c>
      <c r="AM231" s="87">
        <v>5.6019828615157898</v>
      </c>
      <c r="AN231" s="87">
        <v>5.5284207998105259</v>
      </c>
      <c r="AO231" s="87">
        <v>7.4024912982947377</v>
      </c>
      <c r="AP231" s="87">
        <v>8.2540954813473668</v>
      </c>
      <c r="AQ231" s="87">
        <v>6.4840955156631521</v>
      </c>
      <c r="AR231" s="87">
        <v>6.035782317557894</v>
      </c>
      <c r="AS231" s="12"/>
      <c r="AT231" s="12"/>
      <c r="AU231" s="12"/>
      <c r="AV231" s="12"/>
      <c r="AW231" s="689"/>
      <c r="AX231" s="12"/>
      <c r="AY231" s="12"/>
      <c r="AZ231" s="12"/>
      <c r="BA231" s="12"/>
      <c r="BB231" s="791"/>
      <c r="BC231" s="12"/>
      <c r="BD231" s="12"/>
      <c r="BE231" s="12"/>
      <c r="BF231" s="12"/>
      <c r="BG231" s="12"/>
      <c r="BH231" s="12"/>
      <c r="BI231" s="12"/>
      <c r="BJ231" s="12"/>
      <c r="BK231" s="12"/>
      <c r="BL231" s="12"/>
      <c r="BM231" s="12"/>
      <c r="BN231" s="12"/>
      <c r="BO231" s="12"/>
      <c r="BP231" s="12"/>
      <c r="BQ231" s="12"/>
      <c r="BR231" s="12"/>
      <c r="BS231" s="12"/>
      <c r="BT231" s="12"/>
      <c r="BU231" s="12"/>
      <c r="BV231" s="12"/>
    </row>
    <row r="232" spans="1:74" s="50" customFormat="1" ht="18.600000000000001" customHeight="1" x14ac:dyDescent="0.4">
      <c r="A232" s="856"/>
      <c r="B232" s="842" t="s">
        <v>66</v>
      </c>
      <c r="C232" s="1002" t="s">
        <v>44</v>
      </c>
      <c r="D232" s="885"/>
      <c r="E232" s="11" t="s">
        <v>26</v>
      </c>
      <c r="F232" s="64"/>
      <c r="G232" s="10" t="s">
        <v>134</v>
      </c>
      <c r="H232" s="64"/>
      <c r="I232" s="11">
        <v>15.600052964345515</v>
      </c>
      <c r="J232" s="11">
        <v>15.482561392970339</v>
      </c>
      <c r="K232" s="11">
        <v>15.090417015446921</v>
      </c>
      <c r="L232" s="11">
        <v>12.969726427709464</v>
      </c>
      <c r="M232" s="11">
        <v>11.998726195395655</v>
      </c>
      <c r="N232" s="11">
        <v>10.652491415063672</v>
      </c>
      <c r="O232" s="11">
        <v>9.5904339991834107</v>
      </c>
      <c r="P232" s="87">
        <v>9.2159920304327336</v>
      </c>
      <c r="Q232" s="87">
        <v>7.8716958547851945</v>
      </c>
      <c r="R232" s="87">
        <v>6.5162739195936084</v>
      </c>
      <c r="S232" s="87">
        <v>6.260771279389818</v>
      </c>
      <c r="T232" s="87">
        <v>5.7366936821994381</v>
      </c>
      <c r="U232" s="87">
        <v>5.3423629461557942</v>
      </c>
      <c r="V232" s="87">
        <v>4.6138064720172016</v>
      </c>
      <c r="W232" s="87">
        <v>6.9203627534090515</v>
      </c>
      <c r="X232" s="707">
        <v>5.5573345470239897</v>
      </c>
      <c r="Y232" s="87">
        <v>5.7497759114371663</v>
      </c>
      <c r="Z232" s="87">
        <v>8.7305811954460175</v>
      </c>
      <c r="AA232" s="87">
        <v>7.018919753655064</v>
      </c>
      <c r="AB232" s="87">
        <v>6.9010512572312743</v>
      </c>
      <c r="AC232" s="87">
        <v>6.6899681626095795</v>
      </c>
      <c r="AD232" s="87">
        <v>7.3850005751473908</v>
      </c>
      <c r="AE232" s="87">
        <v>7.1131856831429161</v>
      </c>
      <c r="AF232" s="87">
        <v>6.0870657461533337</v>
      </c>
      <c r="AG232" s="87">
        <v>8.2851327045513337</v>
      </c>
      <c r="AH232" s="87">
        <v>7.6186190672399992</v>
      </c>
      <c r="AI232" s="87">
        <v>8.1974943031173328</v>
      </c>
      <c r="AJ232" s="87">
        <v>8.6037772833349315</v>
      </c>
      <c r="AK232" s="87">
        <v>5.8784597129789287</v>
      </c>
      <c r="AL232" s="87">
        <v>6.8764170467203201</v>
      </c>
      <c r="AM232" s="87">
        <v>6.774474903877203</v>
      </c>
      <c r="AN232" s="87">
        <v>6.8975394851001743</v>
      </c>
      <c r="AO232" s="87">
        <v>7.1490361221504806</v>
      </c>
      <c r="AP232" s="87">
        <v>6.8078014722938942</v>
      </c>
      <c r="AQ232" s="87">
        <v>7.5524036901931488</v>
      </c>
      <c r="AR232" s="87">
        <v>7.4483956660185804</v>
      </c>
      <c r="AS232" s="12"/>
      <c r="AT232" s="12"/>
      <c r="AU232" s="12"/>
      <c r="AV232" s="12"/>
      <c r="AW232" s="689"/>
      <c r="AX232" s="12"/>
      <c r="AY232" s="12"/>
      <c r="AZ232" s="12"/>
      <c r="BA232" s="12"/>
      <c r="BB232" s="791"/>
      <c r="BC232" s="12"/>
      <c r="BD232" s="12"/>
      <c r="BE232" s="12"/>
      <c r="BF232" s="12"/>
      <c r="BG232" s="12"/>
      <c r="BH232" s="12"/>
      <c r="BI232" s="12"/>
      <c r="BJ232" s="12"/>
      <c r="BK232" s="12"/>
      <c r="BL232" s="12"/>
      <c r="BM232" s="12"/>
      <c r="BN232" s="12"/>
      <c r="BO232" s="12"/>
      <c r="BP232" s="12"/>
      <c r="BQ232" s="12"/>
      <c r="BR232" s="12"/>
      <c r="BS232" s="12"/>
      <c r="BT232" s="12"/>
      <c r="BU232" s="12"/>
      <c r="BV232" s="12"/>
    </row>
    <row r="233" spans="1:74" s="50" customFormat="1" ht="18.600000000000001" customHeight="1" x14ac:dyDescent="0.4">
      <c r="A233" s="856"/>
      <c r="B233" s="842" t="s">
        <v>67</v>
      </c>
      <c r="C233" s="1002" t="s">
        <v>44</v>
      </c>
      <c r="D233" s="885"/>
      <c r="E233" s="11" t="s">
        <v>27</v>
      </c>
      <c r="F233" s="64"/>
      <c r="G233" s="10" t="s">
        <v>135</v>
      </c>
      <c r="H233" s="64"/>
      <c r="I233" s="11">
        <v>22.93001127409957</v>
      </c>
      <c r="J233" s="11">
        <v>22.964670050820189</v>
      </c>
      <c r="K233" s="11">
        <v>22.811757981826563</v>
      </c>
      <c r="L233" s="11">
        <v>24.194151909145681</v>
      </c>
      <c r="M233" s="11">
        <v>22.373187228764237</v>
      </c>
      <c r="N233" s="11">
        <v>23.158733833330125</v>
      </c>
      <c r="O233" s="11">
        <v>27.797557674720959</v>
      </c>
      <c r="P233" s="11">
        <v>29.502835362824349</v>
      </c>
      <c r="Q233" s="11">
        <v>23.935727665229059</v>
      </c>
      <c r="R233" s="11">
        <v>24.558569688025564</v>
      </c>
      <c r="S233" s="11">
        <v>27.070879385717902</v>
      </c>
      <c r="T233" s="11">
        <v>27.173311575046508</v>
      </c>
      <c r="U233" s="11">
        <v>28.828499831367758</v>
      </c>
      <c r="V233" s="11">
        <v>26.5932732009679</v>
      </c>
      <c r="W233" s="11">
        <v>23.882261373998325</v>
      </c>
      <c r="X233" s="704">
        <v>22.781439827789221</v>
      </c>
      <c r="Y233" s="11">
        <v>19.979845137462434</v>
      </c>
      <c r="Z233" s="11">
        <v>21.139286766844481</v>
      </c>
      <c r="AA233" s="11">
        <v>19.911684204072145</v>
      </c>
      <c r="AB233" s="11">
        <v>18.743575084537731</v>
      </c>
      <c r="AC233" s="11">
        <v>18.104581691974886</v>
      </c>
      <c r="AD233" s="11">
        <v>19.088905099232509</v>
      </c>
      <c r="AE233" s="11">
        <v>22.401898733116489</v>
      </c>
      <c r="AF233" s="11">
        <v>21.567757682028883</v>
      </c>
      <c r="AG233" s="11">
        <v>19.479247501630169</v>
      </c>
      <c r="AH233" s="11">
        <v>22.737819906763953</v>
      </c>
      <c r="AI233" s="11">
        <v>19.972198609088267</v>
      </c>
      <c r="AJ233" s="11">
        <v>21.991132563085134</v>
      </c>
      <c r="AK233" s="11">
        <v>23.594106408423702</v>
      </c>
      <c r="AL233" s="11">
        <v>23.655577629172626</v>
      </c>
      <c r="AM233" s="11">
        <v>20.55395960694819</v>
      </c>
      <c r="AN233" s="11">
        <v>23.011419379455845</v>
      </c>
      <c r="AO233" s="11">
        <v>20.750945476887694</v>
      </c>
      <c r="AP233" s="11">
        <v>22.916449515367979</v>
      </c>
      <c r="AQ233" s="11">
        <v>22.388200305230828</v>
      </c>
      <c r="AR233" s="11">
        <v>24.075251834056697</v>
      </c>
      <c r="AS233" s="12"/>
      <c r="AT233" s="12"/>
      <c r="AU233" s="12"/>
      <c r="AV233" s="12"/>
      <c r="AW233" s="689"/>
      <c r="AX233" s="12"/>
      <c r="AY233" s="12"/>
      <c r="AZ233" s="12"/>
      <c r="BA233" s="12"/>
      <c r="BB233" s="791"/>
      <c r="BC233" s="12"/>
      <c r="BD233" s="12"/>
      <c r="BE233" s="12"/>
      <c r="BF233" s="12"/>
      <c r="BG233" s="12"/>
      <c r="BH233" s="12"/>
      <c r="BI233" s="12"/>
      <c r="BJ233" s="12"/>
      <c r="BK233" s="12"/>
      <c r="BL233" s="12"/>
      <c r="BM233" s="12"/>
      <c r="BN233" s="12"/>
      <c r="BO233" s="12"/>
      <c r="BP233" s="12"/>
      <c r="BQ233" s="12"/>
      <c r="BR233" s="12"/>
      <c r="BS233" s="12"/>
      <c r="BT233" s="12"/>
      <c r="BU233" s="12"/>
      <c r="BV233" s="12"/>
    </row>
    <row r="234" spans="1:74" s="50" customFormat="1" ht="18.600000000000001" customHeight="1" x14ac:dyDescent="0.4">
      <c r="A234" s="856"/>
      <c r="B234" s="842" t="s">
        <v>42</v>
      </c>
      <c r="C234" s="1002" t="s">
        <v>44</v>
      </c>
      <c r="D234" s="885"/>
      <c r="E234" s="25" t="s">
        <v>117</v>
      </c>
      <c r="F234" s="89"/>
      <c r="G234" s="13"/>
      <c r="H234" s="89"/>
      <c r="I234" s="14">
        <v>214.55104804070371</v>
      </c>
      <c r="J234" s="14">
        <v>218.73214527671695</v>
      </c>
      <c r="K234" s="14">
        <v>232.018264495739</v>
      </c>
      <c r="L234" s="14">
        <v>242.76590303554312</v>
      </c>
      <c r="M234" s="14">
        <v>250.46480024460189</v>
      </c>
      <c r="N234" s="14">
        <v>260.98909779807474</v>
      </c>
      <c r="O234" s="14">
        <v>271.3079191531819</v>
      </c>
      <c r="P234" s="14">
        <v>281.64235932716178</v>
      </c>
      <c r="Q234" s="14">
        <v>280.33273075718171</v>
      </c>
      <c r="R234" s="14">
        <v>286.55961884960243</v>
      </c>
      <c r="S234" s="14">
        <v>296.21338278213955</v>
      </c>
      <c r="T234" s="14">
        <v>306.38023802044972</v>
      </c>
      <c r="U234" s="14">
        <v>298.75994925990472</v>
      </c>
      <c r="V234" s="14">
        <v>302.63402712426671</v>
      </c>
      <c r="W234" s="14">
        <v>321.62844872162674</v>
      </c>
      <c r="X234" s="691">
        <v>313.96485258104229</v>
      </c>
      <c r="Y234" s="14">
        <v>336.67456223328463</v>
      </c>
      <c r="Z234" s="14">
        <v>340.40470115570582</v>
      </c>
      <c r="AA234" s="14">
        <v>322.50639991392791</v>
      </c>
      <c r="AB234" s="14">
        <v>312.28250739199927</v>
      </c>
      <c r="AC234" s="14">
        <v>308.53384160935076</v>
      </c>
      <c r="AD234" s="14">
        <v>289.49282699573916</v>
      </c>
      <c r="AE234" s="14">
        <v>269.98009062140324</v>
      </c>
      <c r="AF234" s="14">
        <v>268.96715816511937</v>
      </c>
      <c r="AG234" s="14">
        <v>268.51900989163761</v>
      </c>
      <c r="AH234" s="14">
        <v>268.22689895721999</v>
      </c>
      <c r="AI234" s="14">
        <v>263.50757972596665</v>
      </c>
      <c r="AJ234" s="14">
        <v>261.55300486381907</v>
      </c>
      <c r="AK234" s="14">
        <v>260.70105450881061</v>
      </c>
      <c r="AL234" s="14">
        <v>236.17080007645575</v>
      </c>
      <c r="AM234" s="14">
        <v>262.96794933123755</v>
      </c>
      <c r="AN234" s="14">
        <v>271.97276965894605</v>
      </c>
      <c r="AO234" s="14">
        <v>262.27616775923457</v>
      </c>
      <c r="AP234" s="14">
        <v>253.83879543542301</v>
      </c>
      <c r="AQ234" s="14">
        <v>239.38580632707041</v>
      </c>
      <c r="AR234" s="14">
        <v>222.59190359498734</v>
      </c>
      <c r="AS234" s="12"/>
      <c r="AT234" s="12"/>
      <c r="AU234" s="12"/>
      <c r="AV234" s="12"/>
      <c r="AW234" s="689"/>
      <c r="AX234" s="12"/>
      <c r="AY234" s="12"/>
      <c r="AZ234" s="12"/>
      <c r="BA234" s="12"/>
      <c r="BB234" s="791"/>
      <c r="BC234" s="12"/>
      <c r="BD234" s="12"/>
      <c r="BE234" s="12"/>
      <c r="BF234" s="12"/>
      <c r="BG234" s="12"/>
      <c r="BH234" s="12"/>
      <c r="BI234" s="12"/>
      <c r="BJ234" s="12"/>
      <c r="BK234" s="12"/>
      <c r="BL234" s="12"/>
      <c r="BM234" s="12"/>
      <c r="BN234" s="12"/>
      <c r="BO234" s="12"/>
      <c r="BP234" s="12"/>
      <c r="BQ234" s="12"/>
      <c r="BR234" s="12"/>
      <c r="BS234" s="12"/>
      <c r="BT234" s="12"/>
      <c r="BU234" s="12"/>
      <c r="BV234" s="12"/>
    </row>
    <row r="235" spans="1:74" s="50" customFormat="1" x14ac:dyDescent="0.4">
      <c r="A235" s="856"/>
      <c r="B235" s="842"/>
      <c r="C235" s="1002"/>
      <c r="D235" s="885"/>
      <c r="E235" s="35"/>
      <c r="F235" s="90"/>
      <c r="G235" s="34"/>
      <c r="H235" s="90"/>
      <c r="I235" s="1048"/>
      <c r="J235" s="1048"/>
      <c r="K235" s="1048"/>
      <c r="L235" s="1048"/>
      <c r="M235" s="1048"/>
      <c r="N235" s="1048"/>
      <c r="O235" s="1048"/>
      <c r="P235" s="1048"/>
      <c r="Q235" s="1048"/>
      <c r="R235" s="1048"/>
      <c r="S235" s="1048"/>
      <c r="T235" s="1048"/>
      <c r="U235" s="1048"/>
      <c r="V235" s="1048"/>
      <c r="W235" s="1048"/>
      <c r="X235" s="1301"/>
      <c r="Y235" s="1048"/>
      <c r="Z235" s="1048"/>
      <c r="AA235" s="1048"/>
      <c r="AB235" s="1048"/>
      <c r="AC235" s="1048"/>
      <c r="AD235" s="1048"/>
      <c r="AE235" s="1048"/>
      <c r="AF235" s="1048"/>
      <c r="AG235" s="1048"/>
      <c r="AH235" s="1048"/>
      <c r="AI235" s="1048"/>
      <c r="AJ235" s="1048"/>
      <c r="AK235" s="1048"/>
      <c r="AL235" s="1048"/>
      <c r="AM235" s="1048"/>
      <c r="AN235" s="1048"/>
      <c r="AO235" s="1048"/>
      <c r="AP235" s="1048"/>
      <c r="AQ235" s="1048"/>
      <c r="AR235" s="1117"/>
      <c r="AS235" s="51"/>
      <c r="AT235" s="51"/>
      <c r="AU235" s="51"/>
      <c r="AV235" s="51"/>
      <c r="AW235" s="688"/>
      <c r="AX235" s="51"/>
      <c r="AY235" s="51"/>
      <c r="AZ235" s="51"/>
      <c r="BA235" s="51"/>
      <c r="BB235" s="790"/>
      <c r="BC235" s="51"/>
      <c r="BD235" s="51"/>
      <c r="BE235" s="51"/>
      <c r="BF235" s="51"/>
      <c r="BG235" s="51"/>
      <c r="BH235" s="51"/>
      <c r="BI235" s="51"/>
      <c r="BJ235" s="51"/>
      <c r="BK235" s="51"/>
      <c r="BL235" s="51"/>
      <c r="BM235" s="51"/>
      <c r="BN235" s="51"/>
      <c r="BO235" s="51"/>
      <c r="BP235" s="51"/>
      <c r="BQ235" s="51"/>
      <c r="BR235" s="51"/>
      <c r="BS235" s="51"/>
      <c r="BT235" s="51"/>
      <c r="BU235" s="51"/>
      <c r="BV235" s="51"/>
    </row>
    <row r="236" spans="1:74" s="50" customFormat="1" x14ac:dyDescent="0.4">
      <c r="A236" s="856"/>
      <c r="B236" s="833"/>
      <c r="C236" s="1002" t="s">
        <v>44</v>
      </c>
      <c r="D236" s="885"/>
      <c r="E236" s="625" t="str">
        <f>$E$14</f>
        <v>Losunarspá: Sviðsmynd byggð á aðgerðum stjórnvalda</v>
      </c>
      <c r="F236" s="625"/>
      <c r="G236" s="625" t="str">
        <f>$G$14</f>
        <v>Emission Projections: Government Policy-Based Scenario</v>
      </c>
      <c r="H236" s="625"/>
      <c r="I236" s="4"/>
      <c r="J236" s="5" t="s">
        <v>44</v>
      </c>
      <c r="K236" s="6"/>
      <c r="L236" s="7"/>
      <c r="M236" s="8"/>
      <c r="N236" s="6"/>
      <c r="O236" s="6"/>
      <c r="P236" s="6"/>
      <c r="Q236" s="6"/>
      <c r="R236" s="6"/>
      <c r="S236" s="6"/>
      <c r="T236" s="6"/>
      <c r="U236" s="6"/>
      <c r="V236" s="6"/>
      <c r="W236" s="6"/>
      <c r="X236" s="1302"/>
      <c r="Y236" s="6"/>
      <c r="Z236" s="6"/>
      <c r="AA236" s="6"/>
      <c r="AB236" s="6"/>
      <c r="AC236" s="6"/>
      <c r="AD236" s="6"/>
      <c r="AE236" s="6"/>
      <c r="AF236" s="6"/>
      <c r="AG236" s="6"/>
      <c r="AH236" s="6"/>
      <c r="AI236" s="6"/>
      <c r="AJ236" s="6"/>
      <c r="AK236" s="6"/>
      <c r="AL236" s="6"/>
      <c r="AM236" s="6"/>
      <c r="AN236" s="6"/>
      <c r="AO236" s="6"/>
      <c r="AP236" s="6"/>
      <c r="AQ236" s="6"/>
      <c r="AR236" s="6"/>
      <c r="AS236" s="188"/>
      <c r="AT236" s="188"/>
      <c r="AU236" s="188"/>
      <c r="AV236" s="188"/>
      <c r="AW236" s="188"/>
      <c r="AX236" s="188"/>
      <c r="AY236" s="188"/>
      <c r="AZ236" s="188"/>
      <c r="BA236" s="188"/>
      <c r="BB236" s="188"/>
      <c r="BC236" s="188"/>
      <c r="BD236" s="188"/>
      <c r="BE236" s="188"/>
      <c r="BF236" s="188"/>
      <c r="BG236" s="188"/>
      <c r="BH236" s="9"/>
      <c r="BI236" s="9"/>
      <c r="BJ236" s="9"/>
      <c r="BK236" s="9"/>
      <c r="BL236" s="9"/>
      <c r="BM236" s="9"/>
      <c r="BN236" s="9"/>
      <c r="BO236" s="9"/>
      <c r="BP236" s="9"/>
      <c r="BQ236" s="9"/>
      <c r="BR236" s="9"/>
      <c r="BS236" s="9"/>
      <c r="BT236" s="9"/>
      <c r="BU236" s="9"/>
      <c r="BV236" s="9"/>
    </row>
    <row r="237" spans="1:74" s="50" customFormat="1" ht="18.600000000000001" customHeight="1" x14ac:dyDescent="0.4">
      <c r="A237" s="856"/>
      <c r="B237" s="842" t="s">
        <v>64</v>
      </c>
      <c r="C237" s="866" t="str">
        <f t="shared" ref="C237:C240" si="91">B237&amp;" "&amp;D237</f>
        <v>5.A Solid waste disposalkt CO2-eq WEM</v>
      </c>
      <c r="D237" s="891" t="s">
        <v>377</v>
      </c>
      <c r="E237" s="11" t="s">
        <v>24</v>
      </c>
      <c r="F237" s="64"/>
      <c r="G237" s="10" t="s">
        <v>123</v>
      </c>
      <c r="H237" s="64"/>
      <c r="I237" s="12"/>
      <c r="J237" s="12"/>
      <c r="K237" s="12"/>
      <c r="L237" s="12"/>
      <c r="M237" s="12"/>
      <c r="N237" s="12"/>
      <c r="O237" s="12"/>
      <c r="P237" s="12"/>
      <c r="Q237" s="12"/>
      <c r="R237" s="12"/>
      <c r="S237" s="12"/>
      <c r="T237" s="12"/>
      <c r="U237" s="12"/>
      <c r="V237" s="12"/>
      <c r="W237" s="12"/>
      <c r="X237" s="791"/>
      <c r="Y237" s="12"/>
      <c r="Z237" s="12"/>
      <c r="AA237" s="12"/>
      <c r="AB237" s="12"/>
      <c r="AC237" s="12"/>
      <c r="AD237" s="12"/>
      <c r="AE237" s="12"/>
      <c r="AF237" s="12"/>
      <c r="AG237" s="12"/>
      <c r="AH237" s="12"/>
      <c r="AI237" s="12"/>
      <c r="AJ237" s="12"/>
      <c r="AK237" s="12"/>
      <c r="AL237" s="12"/>
      <c r="AM237" s="12"/>
      <c r="AN237" s="12"/>
      <c r="AO237" s="12"/>
      <c r="AP237" s="161"/>
      <c r="AQ237" s="161"/>
      <c r="AR237" s="168">
        <f>AR230</f>
        <v>185.03247377735417</v>
      </c>
      <c r="AS237" s="11">
        <v>171.31904905630469</v>
      </c>
      <c r="AT237" s="11">
        <v>158.84251370288135</v>
      </c>
      <c r="AU237" s="11">
        <v>147.55225632502373</v>
      </c>
      <c r="AV237" s="11">
        <v>132.55179549482176</v>
      </c>
      <c r="AW237" s="704">
        <v>119.76810307975666</v>
      </c>
      <c r="AX237" s="11">
        <v>108.86960495124578</v>
      </c>
      <c r="AY237" s="11">
        <v>99.208261775340873</v>
      </c>
      <c r="AZ237" s="11">
        <v>90.65056432607156</v>
      </c>
      <c r="BA237" s="11">
        <v>82.772328587101725</v>
      </c>
      <c r="BB237" s="704">
        <v>75.996575943509157</v>
      </c>
      <c r="BC237" s="11">
        <v>70.16803013532919</v>
      </c>
      <c r="BD237" s="11">
        <v>65.26977570881796</v>
      </c>
      <c r="BE237" s="11">
        <v>61.196245454932786</v>
      </c>
      <c r="BF237" s="11">
        <v>56.419679366036917</v>
      </c>
      <c r="BG237" s="11">
        <v>51.982755790689254</v>
      </c>
      <c r="BH237" s="11">
        <v>48.009192387623116</v>
      </c>
      <c r="BI237" s="11">
        <v>44.441106989772869</v>
      </c>
      <c r="BJ237" s="11">
        <v>41.229045868042888</v>
      </c>
      <c r="BK237" s="11">
        <v>38.330654757061637</v>
      </c>
      <c r="BL237" s="11">
        <v>35.709567280563412</v>
      </c>
      <c r="BM237" s="11">
        <v>33.33447461794875</v>
      </c>
      <c r="BN237" s="11">
        <v>31.178346313864854</v>
      </c>
      <c r="BO237" s="11">
        <v>29.217777173448376</v>
      </c>
      <c r="BP237" s="11">
        <v>27.432439379004055</v>
      </c>
      <c r="BQ237" s="11">
        <v>25.80462245219449</v>
      </c>
      <c r="BR237" s="11">
        <v>24.318846588025547</v>
      </c>
      <c r="BS237" s="11">
        <v>22.961537301747502</v>
      </c>
      <c r="BT237" s="11">
        <v>21.720751339318248</v>
      </c>
      <c r="BU237" s="11">
        <v>20.585945474521356</v>
      </c>
      <c r="BV237" s="11">
        <v>19.547781207924992</v>
      </c>
    </row>
    <row r="238" spans="1:74" s="50" customFormat="1" ht="18.600000000000001" customHeight="1" x14ac:dyDescent="0.4">
      <c r="A238" s="856"/>
      <c r="B238" s="842" t="s">
        <v>65</v>
      </c>
      <c r="C238" s="866" t="str">
        <f t="shared" si="91"/>
        <v>5.B Biological treatment of solid wastekt CO2-eq WEM</v>
      </c>
      <c r="D238" s="891" t="s">
        <v>377</v>
      </c>
      <c r="E238" s="11" t="s">
        <v>25</v>
      </c>
      <c r="F238" s="64"/>
      <c r="G238" s="10" t="s">
        <v>133</v>
      </c>
      <c r="H238" s="64"/>
      <c r="I238" s="12"/>
      <c r="J238" s="12"/>
      <c r="K238" s="12"/>
      <c r="L238" s="12"/>
      <c r="M238" s="12"/>
      <c r="N238" s="12"/>
      <c r="O238" s="12"/>
      <c r="P238" s="12"/>
      <c r="Q238" s="12"/>
      <c r="R238" s="12"/>
      <c r="S238" s="12"/>
      <c r="T238" s="12"/>
      <c r="U238" s="12"/>
      <c r="V238" s="12"/>
      <c r="W238" s="12"/>
      <c r="X238" s="791"/>
      <c r="Y238" s="12"/>
      <c r="Z238" s="12"/>
      <c r="AA238" s="12"/>
      <c r="AB238" s="12"/>
      <c r="AC238" s="12"/>
      <c r="AD238" s="12"/>
      <c r="AE238" s="12"/>
      <c r="AF238" s="12"/>
      <c r="AG238" s="12"/>
      <c r="AH238" s="12"/>
      <c r="AI238" s="12"/>
      <c r="AJ238" s="12"/>
      <c r="AK238" s="12"/>
      <c r="AL238" s="12"/>
      <c r="AM238" s="12"/>
      <c r="AN238" s="12"/>
      <c r="AO238" s="12"/>
      <c r="AP238" s="161"/>
      <c r="AQ238" s="161"/>
      <c r="AR238" s="168">
        <f>AR231</f>
        <v>6.035782317557894</v>
      </c>
      <c r="AS238" s="1118">
        <v>6.2401543558118107</v>
      </c>
      <c r="AT238" s="1118">
        <v>6.4435841255561987</v>
      </c>
      <c r="AU238" s="1118">
        <v>6.6470138953005868</v>
      </c>
      <c r="AV238" s="1118">
        <v>6.850443665044974</v>
      </c>
      <c r="AW238" s="1119">
        <v>7.053873434789363</v>
      </c>
      <c r="AX238" s="1118">
        <v>7.1951823780878632</v>
      </c>
      <c r="AY238" s="1118">
        <v>7.3364913213863634</v>
      </c>
      <c r="AZ238" s="1118">
        <v>7.4778002646848618</v>
      </c>
      <c r="BA238" s="1118">
        <v>7.6191092079833611</v>
      </c>
      <c r="BB238" s="1119">
        <v>7.7604181512818613</v>
      </c>
      <c r="BC238" s="1118">
        <v>7.9017270945803606</v>
      </c>
      <c r="BD238" s="1118">
        <v>8.0430360378788599</v>
      </c>
      <c r="BE238" s="1118">
        <v>8.1843449811773592</v>
      </c>
      <c r="BF238" s="1118">
        <v>8.3256539244758567</v>
      </c>
      <c r="BG238" s="1118">
        <v>8.4669628677743578</v>
      </c>
      <c r="BH238" s="1118">
        <v>8.6082718110728571</v>
      </c>
      <c r="BI238" s="1118">
        <v>8.7495807543713564</v>
      </c>
      <c r="BJ238" s="1118">
        <v>8.8908896976698557</v>
      </c>
      <c r="BK238" s="1118">
        <v>9.0321986409683532</v>
      </c>
      <c r="BL238" s="1118">
        <v>9.1735075842668543</v>
      </c>
      <c r="BM238" s="1118">
        <v>9.3148165275653536</v>
      </c>
      <c r="BN238" s="1118">
        <v>9.4561254708638529</v>
      </c>
      <c r="BO238" s="1118">
        <v>9.5974344141623522</v>
      </c>
      <c r="BP238" s="1118">
        <v>9.7387433574608515</v>
      </c>
      <c r="BQ238" s="1118">
        <v>9.8800523007593508</v>
      </c>
      <c r="BR238" s="1118">
        <v>10.021361244057852</v>
      </c>
      <c r="BS238" s="1118">
        <v>10.162670187356349</v>
      </c>
      <c r="BT238" s="1118">
        <v>10.30397913065485</v>
      </c>
      <c r="BU238" s="1118">
        <v>10.445288073953348</v>
      </c>
      <c r="BV238" s="1118">
        <v>10.586597017251847</v>
      </c>
    </row>
    <row r="239" spans="1:74" s="50" customFormat="1" ht="18.600000000000001" customHeight="1" x14ac:dyDescent="0.4">
      <c r="A239" s="856"/>
      <c r="B239" s="842" t="s">
        <v>66</v>
      </c>
      <c r="C239" s="866" t="str">
        <f t="shared" si="91"/>
        <v>5.C Incineration and open burning of wastekt CO2-eq WEM</v>
      </c>
      <c r="D239" s="891" t="s">
        <v>377</v>
      </c>
      <c r="E239" s="11" t="s">
        <v>26</v>
      </c>
      <c r="F239" s="64"/>
      <c r="G239" s="10" t="s">
        <v>134</v>
      </c>
      <c r="H239" s="64"/>
      <c r="I239" s="12"/>
      <c r="J239" s="12"/>
      <c r="K239" s="12"/>
      <c r="L239" s="12"/>
      <c r="M239" s="12"/>
      <c r="N239" s="12"/>
      <c r="O239" s="12"/>
      <c r="P239" s="12"/>
      <c r="Q239" s="12"/>
      <c r="R239" s="12"/>
      <c r="S239" s="12"/>
      <c r="T239" s="12"/>
      <c r="U239" s="12"/>
      <c r="V239" s="12"/>
      <c r="W239" s="12"/>
      <c r="X239" s="791"/>
      <c r="Y239" s="12"/>
      <c r="Z239" s="12"/>
      <c r="AA239" s="12"/>
      <c r="AB239" s="12"/>
      <c r="AC239" s="12"/>
      <c r="AD239" s="12"/>
      <c r="AE239" s="12"/>
      <c r="AF239" s="12"/>
      <c r="AG239" s="12"/>
      <c r="AH239" s="12"/>
      <c r="AI239" s="12"/>
      <c r="AJ239" s="12"/>
      <c r="AK239" s="12"/>
      <c r="AL239" s="12"/>
      <c r="AM239" s="12"/>
      <c r="AN239" s="12"/>
      <c r="AO239" s="12"/>
      <c r="AP239" s="161"/>
      <c r="AQ239" s="161"/>
      <c r="AR239" s="168">
        <f>AR232</f>
        <v>7.4483956660185804</v>
      </c>
      <c r="AS239" s="1118">
        <v>7.0743651773084011</v>
      </c>
      <c r="AT239" s="1118">
        <v>7.1590596462787062</v>
      </c>
      <c r="AU239" s="1118">
        <v>7.1769663168528144</v>
      </c>
      <c r="AV239" s="1118">
        <v>7.180701573118311</v>
      </c>
      <c r="AW239" s="1119">
        <v>7.1814785324049328</v>
      </c>
      <c r="AX239" s="1118">
        <v>7.1816400502325877</v>
      </c>
      <c r="AY239" s="1118">
        <v>9.6765662849523366</v>
      </c>
      <c r="AZ239" s="1118">
        <v>16.610077861832693</v>
      </c>
      <c r="BA239" s="1118">
        <v>16.610077861832693</v>
      </c>
      <c r="BB239" s="1119">
        <v>16.610077861832693</v>
      </c>
      <c r="BC239" s="1118">
        <v>16.610077861832693</v>
      </c>
      <c r="BD239" s="1118">
        <v>16.610077861832693</v>
      </c>
      <c r="BE239" s="1118">
        <v>16.610077861832693</v>
      </c>
      <c r="BF239" s="1118">
        <v>16.610077861832693</v>
      </c>
      <c r="BG239" s="1118">
        <v>16.610077861832693</v>
      </c>
      <c r="BH239" s="1118">
        <v>16.610077861832693</v>
      </c>
      <c r="BI239" s="1118">
        <v>16.610077861832693</v>
      </c>
      <c r="BJ239" s="1118">
        <v>16.610077861832693</v>
      </c>
      <c r="BK239" s="1118">
        <v>16.610077861832693</v>
      </c>
      <c r="BL239" s="1118">
        <v>16.610077861832693</v>
      </c>
      <c r="BM239" s="1118">
        <v>16.610077861832693</v>
      </c>
      <c r="BN239" s="1118">
        <v>16.610077861832693</v>
      </c>
      <c r="BO239" s="1118">
        <v>16.610077861832693</v>
      </c>
      <c r="BP239" s="1118">
        <v>16.610077861832693</v>
      </c>
      <c r="BQ239" s="1118">
        <v>16.610077861832693</v>
      </c>
      <c r="BR239" s="1118">
        <v>16.610077861832693</v>
      </c>
      <c r="BS239" s="1118">
        <v>16.610077861832693</v>
      </c>
      <c r="BT239" s="1118">
        <v>16.610077861832693</v>
      </c>
      <c r="BU239" s="1118">
        <v>16.610077861832693</v>
      </c>
      <c r="BV239" s="1118">
        <v>16.610077861832693</v>
      </c>
    </row>
    <row r="240" spans="1:74" s="50" customFormat="1" ht="18.600000000000001" customHeight="1" x14ac:dyDescent="0.4">
      <c r="A240" s="856"/>
      <c r="B240" s="842" t="s">
        <v>67</v>
      </c>
      <c r="C240" s="866" t="str">
        <f t="shared" si="91"/>
        <v>5.D Wastewater handlingkt CO2-eq WEM</v>
      </c>
      <c r="D240" s="891" t="s">
        <v>377</v>
      </c>
      <c r="E240" s="11" t="s">
        <v>27</v>
      </c>
      <c r="F240" s="64"/>
      <c r="G240" s="10" t="s">
        <v>135</v>
      </c>
      <c r="H240" s="64"/>
      <c r="I240" s="12"/>
      <c r="J240" s="12"/>
      <c r="K240" s="12"/>
      <c r="L240" s="12"/>
      <c r="M240" s="12"/>
      <c r="N240" s="12"/>
      <c r="O240" s="12"/>
      <c r="P240" s="12"/>
      <c r="Q240" s="12"/>
      <c r="R240" s="12"/>
      <c r="S240" s="12"/>
      <c r="T240" s="12"/>
      <c r="U240" s="12"/>
      <c r="V240" s="12"/>
      <c r="W240" s="12"/>
      <c r="X240" s="791"/>
      <c r="Y240" s="12"/>
      <c r="Z240" s="12"/>
      <c r="AA240" s="12"/>
      <c r="AB240" s="12"/>
      <c r="AC240" s="12"/>
      <c r="AD240" s="12"/>
      <c r="AE240" s="12"/>
      <c r="AF240" s="12"/>
      <c r="AG240" s="12"/>
      <c r="AH240" s="12"/>
      <c r="AI240" s="12"/>
      <c r="AJ240" s="12"/>
      <c r="AK240" s="12"/>
      <c r="AL240" s="12"/>
      <c r="AM240" s="12"/>
      <c r="AN240" s="12"/>
      <c r="AO240" s="12"/>
      <c r="AP240" s="161"/>
      <c r="AQ240" s="161"/>
      <c r="AR240" s="168">
        <f>AR233</f>
        <v>24.075251834056697</v>
      </c>
      <c r="AS240" s="1120">
        <v>23.525281683721055</v>
      </c>
      <c r="AT240" s="1120">
        <v>23.923852610944948</v>
      </c>
      <c r="AU240" s="1120">
        <v>24.21387324469984</v>
      </c>
      <c r="AV240" s="1120">
        <v>24.500377139176024</v>
      </c>
      <c r="AW240" s="1121">
        <v>24.78441973689533</v>
      </c>
      <c r="AX240" s="1120">
        <v>25.04745161259823</v>
      </c>
      <c r="AY240" s="1120">
        <v>25.304634875155571</v>
      </c>
      <c r="AZ240" s="1120">
        <v>25.553211755397385</v>
      </c>
      <c r="BA240" s="1120">
        <v>25.796484767021049</v>
      </c>
      <c r="BB240" s="1121">
        <v>26.034896514955093</v>
      </c>
      <c r="BC240" s="1120">
        <v>26.267834161606181</v>
      </c>
      <c r="BD240" s="1120">
        <v>26.493731566458017</v>
      </c>
      <c r="BE240" s="1120">
        <v>26.712180171115058</v>
      </c>
      <c r="BF240" s="1120">
        <v>26.923622580505807</v>
      </c>
      <c r="BG240" s="1120">
        <v>27.122713488955114</v>
      </c>
      <c r="BH240" s="1120">
        <v>27.308744760688896</v>
      </c>
      <c r="BI240" s="1120">
        <v>27.489068851415446</v>
      </c>
      <c r="BJ240" s="1120">
        <v>27.65997468904181</v>
      </c>
      <c r="BK240" s="1120">
        <v>27.823505065545774</v>
      </c>
      <c r="BL240" s="1120">
        <v>27.97850239880659</v>
      </c>
      <c r="BM240" s="1120">
        <v>28.126839248137209</v>
      </c>
      <c r="BN240" s="1120">
        <v>28.267153752219123</v>
      </c>
      <c r="BO240" s="1120">
        <v>28.386337995861666</v>
      </c>
      <c r="BP240" s="1120">
        <v>28.500734314886969</v>
      </c>
      <c r="BQ240" s="1120">
        <v>28.608504196515042</v>
      </c>
      <c r="BR240" s="1120">
        <v>28.705844645555104</v>
      </c>
      <c r="BS240" s="1120">
        <v>28.794697762809534</v>
      </c>
      <c r="BT240" s="1120">
        <v>28.878297968909813</v>
      </c>
      <c r="BU240" s="1120">
        <v>28.957326194515183</v>
      </c>
      <c r="BV240" s="1120">
        <v>29.0239517370442</v>
      </c>
    </row>
    <row r="241" spans="1:74" s="50" customFormat="1" ht="18.600000000000001" customHeight="1" x14ac:dyDescent="0.4">
      <c r="A241" s="856"/>
      <c r="B241" s="842" t="s">
        <v>42</v>
      </c>
      <c r="C241" s="866" t="str">
        <f t="shared" ref="C241" si="92">B241&amp;" "&amp;D241</f>
        <v>5. Wastekt CO2-eq WEM</v>
      </c>
      <c r="D241" s="891" t="s">
        <v>377</v>
      </c>
      <c r="E241" s="25" t="s">
        <v>117</v>
      </c>
      <c r="F241" s="89"/>
      <c r="G241" s="13"/>
      <c r="H241" s="89"/>
      <c r="I241" s="12"/>
      <c r="J241" s="12"/>
      <c r="K241" s="12"/>
      <c r="L241" s="12"/>
      <c r="M241" s="12"/>
      <c r="N241" s="12"/>
      <c r="O241" s="12"/>
      <c r="P241" s="12"/>
      <c r="Q241" s="12"/>
      <c r="R241" s="12"/>
      <c r="S241" s="12"/>
      <c r="T241" s="12"/>
      <c r="U241" s="12"/>
      <c r="V241" s="12"/>
      <c r="W241" s="12"/>
      <c r="X241" s="791"/>
      <c r="Y241" s="12"/>
      <c r="Z241" s="12"/>
      <c r="AA241" s="12"/>
      <c r="AB241" s="12"/>
      <c r="AC241" s="12"/>
      <c r="AD241" s="12"/>
      <c r="AE241" s="12"/>
      <c r="AF241" s="12"/>
      <c r="AG241" s="12"/>
      <c r="AH241" s="12"/>
      <c r="AI241" s="12"/>
      <c r="AJ241" s="12"/>
      <c r="AK241" s="12"/>
      <c r="AL241" s="12"/>
      <c r="AM241" s="12"/>
      <c r="AN241" s="12"/>
      <c r="AO241" s="12"/>
      <c r="AP241" s="161"/>
      <c r="AQ241" s="161"/>
      <c r="AR241" s="168">
        <f>AR234</f>
        <v>222.59190359498734</v>
      </c>
      <c r="AS241" s="1122">
        <v>208.15885027314599</v>
      </c>
      <c r="AT241" s="1122">
        <v>196.36901008566119</v>
      </c>
      <c r="AU241" s="1122">
        <v>185.59010978187698</v>
      </c>
      <c r="AV241" s="1122">
        <v>171.08331787216105</v>
      </c>
      <c r="AW241" s="1123">
        <v>158.78787478384629</v>
      </c>
      <c r="AX241" s="1122">
        <v>148.29387899216445</v>
      </c>
      <c r="AY241" s="1122">
        <v>141.52595425683512</v>
      </c>
      <c r="AZ241" s="1122">
        <v>140.29165420798648</v>
      </c>
      <c r="BA241" s="1122">
        <v>132.79800042393882</v>
      </c>
      <c r="BB241" s="1123">
        <v>126.40196847157881</v>
      </c>
      <c r="BC241" s="1122">
        <v>120.94766925334844</v>
      </c>
      <c r="BD241" s="1122">
        <v>116.41662117498754</v>
      </c>
      <c r="BE241" s="1122">
        <v>112.7028484690579</v>
      </c>
      <c r="BF241" s="1122">
        <v>108.27903373285127</v>
      </c>
      <c r="BG241" s="1122">
        <v>104.18251000925142</v>
      </c>
      <c r="BH241" s="1122">
        <v>100.53628682121756</v>
      </c>
      <c r="BI241" s="1122">
        <v>97.289834457392374</v>
      </c>
      <c r="BJ241" s="1122">
        <v>94.389988116587233</v>
      </c>
      <c r="BK241" s="1122">
        <v>91.79643632540845</v>
      </c>
      <c r="BL241" s="1122">
        <v>89.471655125469539</v>
      </c>
      <c r="BM241" s="1122">
        <v>87.386208255484007</v>
      </c>
      <c r="BN241" s="1122">
        <v>85.511703398780526</v>
      </c>
      <c r="BO241" s="1122">
        <v>83.811627445305078</v>
      </c>
      <c r="BP241" s="1122">
        <v>82.281994913184576</v>
      </c>
      <c r="BQ241" s="1122">
        <v>80.903256811301574</v>
      </c>
      <c r="BR241" s="1122">
        <v>79.65613033947119</v>
      </c>
      <c r="BS241" s="1122">
        <v>78.528983113746079</v>
      </c>
      <c r="BT241" s="1122">
        <v>77.513106300715606</v>
      </c>
      <c r="BU241" s="1122">
        <v>76.598637604822585</v>
      </c>
      <c r="BV241" s="1122">
        <v>75.768407824053725</v>
      </c>
    </row>
    <row r="242" spans="1:74" s="50" customFormat="1" x14ac:dyDescent="0.4">
      <c r="A242" s="856"/>
      <c r="B242" s="842"/>
      <c r="C242" s="1002"/>
      <c r="D242" s="885"/>
      <c r="E242" s="35"/>
      <c r="F242" s="90"/>
      <c r="G242" s="34"/>
      <c r="H242" s="90"/>
      <c r="I242" s="1048"/>
      <c r="J242" s="1048"/>
      <c r="K242" s="1048"/>
      <c r="L242" s="1048"/>
      <c r="M242" s="1048"/>
      <c r="N242" s="1048"/>
      <c r="O242" s="1048"/>
      <c r="P242" s="1048"/>
      <c r="Q242" s="1048"/>
      <c r="R242" s="1048"/>
      <c r="S242" s="1048"/>
      <c r="T242" s="1048"/>
      <c r="U242" s="1048"/>
      <c r="V242" s="1048"/>
      <c r="W242" s="1048"/>
      <c r="X242" s="1301"/>
      <c r="Y242" s="1048"/>
      <c r="Z242" s="1048"/>
      <c r="AA242" s="1048"/>
      <c r="AB242" s="1048"/>
      <c r="AC242" s="1048"/>
      <c r="AD242" s="1048"/>
      <c r="AE242" s="1048"/>
      <c r="AF242" s="1048"/>
      <c r="AG242" s="1048"/>
      <c r="AH242" s="1048"/>
      <c r="AI242" s="1048"/>
      <c r="AJ242" s="1048"/>
      <c r="AK242" s="1048"/>
      <c r="AL242" s="1048"/>
      <c r="AM242" s="1048"/>
      <c r="AN242" s="1048"/>
      <c r="AO242" s="1048"/>
      <c r="AP242" s="1048"/>
      <c r="AQ242" s="1048"/>
      <c r="AR242" s="1048"/>
      <c r="AS242" s="51"/>
      <c r="AT242" s="51"/>
      <c r="AU242" s="51"/>
      <c r="AV242" s="51"/>
      <c r="AW242" s="51"/>
      <c r="AX242" s="51"/>
      <c r="AY242" s="51"/>
      <c r="AZ242" s="51"/>
      <c r="BA242" s="51"/>
      <c r="BB242" s="790"/>
      <c r="BC242" s="51"/>
      <c r="BD242" s="51"/>
      <c r="BE242" s="51"/>
      <c r="BF242" s="51"/>
      <c r="BG242" s="51"/>
      <c r="BH242" s="51"/>
      <c r="BI242" s="51"/>
      <c r="BJ242" s="51"/>
      <c r="BK242" s="51"/>
      <c r="BL242" s="51"/>
      <c r="BM242" s="51"/>
      <c r="BN242" s="51"/>
      <c r="BO242" s="51"/>
      <c r="BP242" s="51"/>
      <c r="BQ242" s="51"/>
      <c r="BR242" s="51"/>
      <c r="BS242" s="51"/>
      <c r="BT242" s="51"/>
      <c r="BU242" s="51"/>
      <c r="BV242" s="51"/>
    </row>
    <row r="243" spans="1:74" s="50" customFormat="1" x14ac:dyDescent="0.4">
      <c r="A243" s="856"/>
      <c r="B243" s="842"/>
      <c r="C243" s="1002"/>
      <c r="D243" s="885"/>
      <c r="E243" s="35"/>
      <c r="F243" s="90"/>
      <c r="G243" s="34"/>
      <c r="H243" s="90"/>
      <c r="I243" s="1048"/>
      <c r="J243" s="1048"/>
      <c r="K243" s="1048"/>
      <c r="L243" s="1048"/>
      <c r="M243" s="1048"/>
      <c r="N243" s="1048"/>
      <c r="O243" s="1048"/>
      <c r="P243" s="1048"/>
      <c r="Q243" s="1048"/>
      <c r="R243" s="1048"/>
      <c r="S243" s="1048"/>
      <c r="T243" s="1048"/>
      <c r="U243" s="1048"/>
      <c r="V243" s="1048"/>
      <c r="W243" s="1048"/>
      <c r="X243" s="1301"/>
      <c r="Y243" s="1048"/>
      <c r="Z243" s="1048"/>
      <c r="AA243" s="1048"/>
      <c r="AB243" s="1048"/>
      <c r="AC243" s="1048"/>
      <c r="AD243" s="1048"/>
      <c r="AE243" s="1048"/>
      <c r="AF243" s="1048"/>
      <c r="AG243" s="1048"/>
      <c r="AH243" s="1048"/>
      <c r="AI243" s="1048"/>
      <c r="AJ243" s="1048"/>
      <c r="AK243" s="1048"/>
      <c r="AL243" s="1048"/>
      <c r="AM243" s="1048"/>
      <c r="AN243" s="1048"/>
      <c r="AO243" s="1048"/>
      <c r="AP243" s="1048"/>
      <c r="AQ243" s="1048"/>
      <c r="AR243" s="1048"/>
      <c r="AS243" s="51"/>
      <c r="AT243" s="51"/>
      <c r="AU243" s="51"/>
      <c r="AV243" s="51"/>
      <c r="AW243" s="51"/>
      <c r="AX243" s="51"/>
      <c r="AY243" s="51"/>
      <c r="AZ243" s="51"/>
      <c r="BA243" s="51"/>
      <c r="BB243" s="790"/>
      <c r="BC243" s="51"/>
      <c r="BD243" s="51"/>
      <c r="BE243" s="51"/>
      <c r="BF243" s="51"/>
      <c r="BG243" s="51"/>
      <c r="BH243" s="51"/>
      <c r="BI243" s="51"/>
      <c r="BJ243" s="51"/>
      <c r="BK243" s="51"/>
      <c r="BL243" s="51"/>
      <c r="BM243" s="51"/>
      <c r="BN243" s="51"/>
      <c r="BO243" s="51"/>
      <c r="BP243" s="51"/>
      <c r="BQ243" s="51"/>
      <c r="BR243" s="51"/>
      <c r="BS243" s="51"/>
      <c r="BT243" s="51"/>
      <c r="BU243" s="51"/>
      <c r="BV243" s="51"/>
    </row>
    <row r="244" spans="1:74" s="1189" customFormat="1" ht="47.4" customHeight="1" x14ac:dyDescent="0.75">
      <c r="A244" s="990"/>
      <c r="B244" s="834"/>
      <c r="C244" s="991" t="s">
        <v>44</v>
      </c>
      <c r="D244" s="1182"/>
      <c r="E244" s="1183" t="s">
        <v>437</v>
      </c>
      <c r="F244" s="1026"/>
      <c r="G244" s="54"/>
      <c r="H244" s="1026"/>
      <c r="I244" s="55"/>
      <c r="J244" s="1184"/>
      <c r="K244" s="1184"/>
      <c r="L244" s="1184"/>
      <c r="M244" s="1184"/>
      <c r="N244" s="1184"/>
      <c r="O244" s="1184"/>
      <c r="P244" s="1184"/>
      <c r="Q244" s="1184"/>
      <c r="R244" s="1184"/>
      <c r="S244" s="1184"/>
      <c r="T244" s="1184"/>
      <c r="U244" s="1185"/>
      <c r="V244" s="1185"/>
      <c r="W244" s="1185"/>
      <c r="X244" s="1303"/>
      <c r="Y244" s="1185"/>
      <c r="Z244" s="1185"/>
      <c r="AA244" s="1185"/>
      <c r="AB244" s="1185"/>
      <c r="AC244" s="1185"/>
      <c r="AD244" s="1185"/>
      <c r="AE244" s="1185"/>
      <c r="AF244" s="1185"/>
      <c r="AG244" s="1185"/>
      <c r="AH244" s="1185"/>
      <c r="AI244" s="1185"/>
      <c r="AJ244" s="1185"/>
      <c r="AK244" s="1185"/>
      <c r="AL244" s="1185"/>
      <c r="AM244" s="1185"/>
      <c r="AN244" s="1185"/>
      <c r="AO244" s="1185"/>
      <c r="AP244" s="1185"/>
      <c r="AQ244" s="1185"/>
      <c r="AR244" s="1186"/>
      <c r="AS244" s="1186"/>
      <c r="AT244" s="1186"/>
      <c r="AU244" s="1186"/>
      <c r="AV244" s="1186"/>
      <c r="AW244" s="1187"/>
      <c r="AX244" s="1186"/>
      <c r="AY244" s="1186"/>
      <c r="AZ244" s="1186"/>
      <c r="BA244" s="1186"/>
      <c r="BB244" s="1188"/>
      <c r="BC244" s="1186"/>
      <c r="BD244" s="1186"/>
      <c r="BE244" s="1186"/>
      <c r="BF244" s="1186"/>
      <c r="BG244" s="1186"/>
      <c r="BH244" s="1186"/>
      <c r="BI244" s="1186"/>
      <c r="BJ244" s="1186"/>
      <c r="BK244" s="1186"/>
      <c r="BL244" s="1186"/>
      <c r="BM244" s="1186"/>
      <c r="BN244" s="1186"/>
      <c r="BO244" s="1186"/>
      <c r="BP244" s="1186"/>
      <c r="BQ244" s="1186"/>
      <c r="BR244" s="1186"/>
      <c r="BS244" s="1186"/>
      <c r="BT244" s="1186"/>
      <c r="BU244" s="1186"/>
      <c r="BV244" s="1186"/>
    </row>
    <row r="245" spans="1:74" s="826" customFormat="1" ht="48" customHeight="1" x14ac:dyDescent="0.4">
      <c r="A245" s="857"/>
      <c r="B245" s="838"/>
      <c r="C245" s="877"/>
      <c r="D245" s="1246"/>
      <c r="E245" s="896" t="s">
        <v>170</v>
      </c>
      <c r="F245" s="1027"/>
      <c r="G245" s="822"/>
      <c r="H245" s="1027"/>
      <c r="I245" s="823"/>
      <c r="J245" s="824"/>
      <c r="K245" s="824"/>
      <c r="L245" s="824"/>
      <c r="M245" s="824"/>
      <c r="N245" s="824"/>
      <c r="O245" s="824"/>
      <c r="P245" s="824"/>
      <c r="Q245" s="824"/>
      <c r="R245" s="824"/>
      <c r="S245" s="824"/>
      <c r="T245" s="824"/>
      <c r="U245" s="824"/>
      <c r="V245" s="824"/>
      <c r="W245" s="824"/>
      <c r="X245" s="825"/>
      <c r="Y245" s="824"/>
      <c r="Z245" s="824"/>
      <c r="AA245" s="824"/>
      <c r="AB245" s="824"/>
      <c r="AC245" s="824"/>
      <c r="AD245" s="824"/>
      <c r="AE245" s="824"/>
      <c r="AF245" s="824"/>
      <c r="AG245" s="824"/>
      <c r="AH245" s="824"/>
      <c r="AI245" s="824"/>
      <c r="AJ245" s="824"/>
      <c r="AK245" s="824"/>
      <c r="AL245" s="824"/>
      <c r="AM245" s="824"/>
      <c r="AN245" s="824"/>
      <c r="AO245" s="824"/>
      <c r="AP245" s="824"/>
      <c r="AQ245" s="824"/>
      <c r="AR245" s="824"/>
      <c r="AS245" s="824"/>
      <c r="AT245" s="824"/>
      <c r="AU245" s="824"/>
      <c r="AV245" s="824"/>
      <c r="AW245" s="825"/>
      <c r="AX245" s="824"/>
      <c r="AY245" s="824"/>
      <c r="AZ245" s="824"/>
      <c r="BA245" s="824"/>
      <c r="BB245" s="825"/>
      <c r="BC245" s="824"/>
      <c r="BD245" s="824"/>
      <c r="BE245" s="824"/>
      <c r="BF245" s="824"/>
      <c r="BG245" s="824"/>
      <c r="BH245" s="824"/>
      <c r="BI245" s="824"/>
      <c r="BJ245" s="824"/>
      <c r="BK245" s="824"/>
      <c r="BL245" s="824"/>
      <c r="BM245" s="824"/>
      <c r="BN245" s="824"/>
      <c r="BO245" s="824"/>
      <c r="BP245" s="824"/>
      <c r="BQ245" s="824"/>
      <c r="BR245" s="824"/>
      <c r="BS245" s="824"/>
      <c r="BT245" s="824"/>
      <c r="BU245" s="824"/>
      <c r="BV245" s="824"/>
    </row>
    <row r="246" spans="1:74" s="50" customFormat="1" ht="15" x14ac:dyDescent="0.4">
      <c r="A246" s="856"/>
      <c r="B246" s="842"/>
      <c r="C246" s="866"/>
      <c r="D246" s="891"/>
      <c r="E246" s="69"/>
      <c r="F246" s="90"/>
      <c r="G246" s="34"/>
      <c r="H246" s="90"/>
      <c r="I246" s="180"/>
      <c r="J246" s="180"/>
      <c r="K246" s="180"/>
      <c r="L246" s="180"/>
      <c r="M246" s="180"/>
      <c r="N246" s="180"/>
      <c r="O246" s="180"/>
      <c r="P246" s="180"/>
      <c r="Q246" s="180"/>
      <c r="R246" s="180"/>
      <c r="S246" s="180"/>
      <c r="T246" s="180"/>
      <c r="U246" s="180"/>
      <c r="V246" s="180"/>
      <c r="W246" s="180"/>
      <c r="X246" s="792"/>
      <c r="Y246" s="180"/>
      <c r="Z246" s="180"/>
      <c r="AA246" s="180"/>
      <c r="AB246" s="180"/>
      <c r="AC246" s="180"/>
      <c r="AD246" s="180"/>
      <c r="AE246" s="180"/>
      <c r="AF246" s="180"/>
      <c r="AG246" s="180"/>
      <c r="AH246" s="180"/>
      <c r="AI246" s="180"/>
      <c r="AJ246" s="180"/>
      <c r="AK246" s="180"/>
      <c r="AL246" s="180"/>
      <c r="AM246" s="180"/>
      <c r="AN246" s="180"/>
      <c r="AO246" s="180"/>
      <c r="AP246" s="705"/>
      <c r="AQ246" s="705"/>
      <c r="AR246" s="1003"/>
      <c r="AS246" s="35"/>
      <c r="AT246" s="35"/>
      <c r="AU246" s="35"/>
      <c r="AV246" s="35"/>
      <c r="AW246" s="82"/>
      <c r="AX246" s="35"/>
      <c r="AY246" s="35"/>
      <c r="AZ246" s="35"/>
      <c r="BA246" s="35"/>
      <c r="BB246" s="82"/>
      <c r="BC246" s="35"/>
      <c r="BD246" s="35"/>
      <c r="BE246" s="35"/>
      <c r="BF246" s="35"/>
      <c r="BG246" s="35"/>
      <c r="BH246" s="35"/>
      <c r="BI246" s="35"/>
      <c r="BJ246" s="35"/>
      <c r="BK246" s="35"/>
      <c r="BL246" s="35"/>
      <c r="BM246" s="35"/>
      <c r="BN246" s="35"/>
      <c r="BO246" s="35"/>
      <c r="BP246" s="35"/>
      <c r="BQ246" s="35"/>
      <c r="BR246" s="35"/>
      <c r="BS246" s="35"/>
      <c r="BT246" s="35"/>
      <c r="BU246" s="35"/>
      <c r="BV246" s="35"/>
    </row>
    <row r="247" spans="1:74" s="50" customFormat="1" x14ac:dyDescent="0.4">
      <c r="A247" s="856"/>
      <c r="B247" s="833"/>
      <c r="C247" s="1002" t="s">
        <v>44</v>
      </c>
      <c r="D247" s="885"/>
      <c r="E247" s="101" t="str">
        <f>$E$5</f>
        <v>Söguleg losun</v>
      </c>
      <c r="F247" s="1028"/>
      <c r="G247" s="56" t="s">
        <v>330</v>
      </c>
      <c r="H247" s="1028"/>
      <c r="I247" s="4"/>
      <c r="J247" s="5" t="s">
        <v>44</v>
      </c>
      <c r="K247" s="6"/>
      <c r="L247" s="7"/>
      <c r="M247" s="8"/>
      <c r="N247" s="6"/>
      <c r="O247" s="6"/>
      <c r="P247" s="6"/>
      <c r="Q247" s="6"/>
      <c r="R247" s="6"/>
      <c r="S247" s="6"/>
      <c r="T247" s="6"/>
      <c r="U247" s="6"/>
      <c r="V247" s="6"/>
      <c r="W247" s="6"/>
      <c r="X247" s="1074"/>
      <c r="Y247" s="6"/>
      <c r="Z247" s="6"/>
      <c r="AA247" s="6"/>
      <c r="AB247" s="6"/>
      <c r="AC247" s="6"/>
      <c r="AD247" s="6"/>
      <c r="AE247" s="6"/>
      <c r="AF247" s="6"/>
      <c r="AG247" s="6"/>
      <c r="AH247" s="6"/>
      <c r="AI247" s="6"/>
      <c r="AJ247" s="6"/>
      <c r="AK247" s="6"/>
      <c r="AL247" s="6"/>
      <c r="AM247" s="6"/>
      <c r="AN247" s="6"/>
      <c r="AO247" s="6"/>
      <c r="AP247" s="6"/>
      <c r="AQ247" s="6"/>
      <c r="AR247" s="6"/>
      <c r="AS247" s="6"/>
      <c r="AT247" s="9"/>
      <c r="AU247" s="9"/>
      <c r="AV247" s="9"/>
      <c r="AW247" s="688"/>
      <c r="AX247" s="9"/>
      <c r="AY247" s="9"/>
      <c r="AZ247" s="9"/>
      <c r="BA247" s="9"/>
      <c r="BB247" s="790"/>
      <c r="BC247" s="9"/>
      <c r="BD247" s="9"/>
      <c r="BE247" s="9"/>
      <c r="BF247" s="9"/>
      <c r="BG247" s="9"/>
      <c r="BH247" s="9"/>
      <c r="BI247" s="9"/>
      <c r="BJ247" s="9"/>
      <c r="BK247" s="9"/>
      <c r="BL247" s="9"/>
      <c r="BM247" s="9"/>
      <c r="BN247" s="9"/>
      <c r="BO247" s="9"/>
      <c r="BP247" s="9"/>
      <c r="BQ247" s="9"/>
      <c r="BR247" s="9"/>
      <c r="BS247" s="9"/>
      <c r="BT247" s="9"/>
      <c r="BU247" s="9"/>
      <c r="BV247" s="9"/>
    </row>
    <row r="248" spans="1:74" s="50" customFormat="1" ht="18.600000000000001" customHeight="1" x14ac:dyDescent="0.4">
      <c r="A248" s="856"/>
      <c r="B248" s="842" t="s">
        <v>72</v>
      </c>
      <c r="C248" s="1002" t="s">
        <v>44</v>
      </c>
      <c r="D248" s="885"/>
      <c r="E248" s="11" t="s">
        <v>30</v>
      </c>
      <c r="F248" s="64"/>
      <c r="G248" s="10" t="s">
        <v>167</v>
      </c>
      <c r="H248" s="64"/>
      <c r="I248" s="11">
        <v>221.10937807666664</v>
      </c>
      <c r="J248" s="11">
        <v>223.45648422493338</v>
      </c>
      <c r="K248" s="11">
        <v>204.96673222053337</v>
      </c>
      <c r="L248" s="11">
        <v>196.93769391346669</v>
      </c>
      <c r="M248" s="11">
        <v>215.03342151853334</v>
      </c>
      <c r="N248" s="11">
        <v>237.71387227506665</v>
      </c>
      <c r="O248" s="11">
        <v>273.30475524573336</v>
      </c>
      <c r="P248" s="11">
        <v>294.05093427306673</v>
      </c>
      <c r="Q248" s="11">
        <v>340.36743871786666</v>
      </c>
      <c r="R248" s="11">
        <v>365.77115387800001</v>
      </c>
      <c r="S248" s="11">
        <v>410.43408736853331</v>
      </c>
      <c r="T248" s="11">
        <v>351.43484296319997</v>
      </c>
      <c r="U248" s="11">
        <v>311.89578576600002</v>
      </c>
      <c r="V248" s="11">
        <v>335.20031285813332</v>
      </c>
      <c r="W248" s="11">
        <v>382.51090829640003</v>
      </c>
      <c r="X248" s="704">
        <v>424.43004818280002</v>
      </c>
      <c r="Y248" s="11">
        <v>503.20407568560006</v>
      </c>
      <c r="Z248" s="11">
        <v>514.92035819013336</v>
      </c>
      <c r="AA248" s="11">
        <v>430.65361113226669</v>
      </c>
      <c r="AB248" s="11">
        <v>345.61492852480001</v>
      </c>
      <c r="AC248" s="11">
        <v>379.7535549454667</v>
      </c>
      <c r="AD248" s="11">
        <v>424.71952189760009</v>
      </c>
      <c r="AE248" s="11">
        <v>445.07818250000008</v>
      </c>
      <c r="AF248" s="11">
        <v>502.36303520266659</v>
      </c>
      <c r="AG248" s="11">
        <v>584.78753803533334</v>
      </c>
      <c r="AH248" s="11">
        <v>679.12283684040005</v>
      </c>
      <c r="AI248" s="11">
        <v>923.85523979279992</v>
      </c>
      <c r="AJ248" s="11">
        <v>1155.4370035488</v>
      </c>
      <c r="AK248" s="87">
        <v>1294.8181528967998</v>
      </c>
      <c r="AL248" s="11">
        <v>963.65322670770036</v>
      </c>
      <c r="AM248" s="11">
        <v>263.34999061560001</v>
      </c>
      <c r="AN248" s="11">
        <v>486.14060688480004</v>
      </c>
      <c r="AO248" s="11">
        <v>854.74603351946575</v>
      </c>
      <c r="AP248" s="11">
        <v>967.65275881202047</v>
      </c>
      <c r="AQ248" s="11">
        <v>1007.0566484977657</v>
      </c>
      <c r="AR248" s="11">
        <v>1009.6475620140002</v>
      </c>
      <c r="AS248" s="12"/>
      <c r="AT248" s="12"/>
      <c r="AU248" s="12"/>
      <c r="AV248" s="12"/>
      <c r="AW248" s="689"/>
      <c r="AX248" s="12"/>
      <c r="AY248" s="12"/>
      <c r="AZ248" s="12"/>
      <c r="BA248" s="12"/>
      <c r="BB248" s="791"/>
      <c r="BC248" s="12"/>
      <c r="BD248" s="12"/>
      <c r="BE248" s="12"/>
      <c r="BF248" s="12"/>
      <c r="BG248" s="12"/>
      <c r="BH248" s="12"/>
      <c r="BI248" s="12"/>
      <c r="BJ248" s="12"/>
      <c r="BK248" s="12"/>
      <c r="BL248" s="12"/>
      <c r="BM248" s="12"/>
      <c r="BN248" s="12"/>
      <c r="BO248" s="12"/>
      <c r="BP248" s="12"/>
      <c r="BQ248" s="12"/>
      <c r="BR248" s="12"/>
      <c r="BS248" s="12"/>
      <c r="BT248" s="12"/>
      <c r="BU248" s="12"/>
      <c r="BV248" s="12"/>
    </row>
    <row r="249" spans="1:74" s="50" customFormat="1" ht="18.600000000000001" customHeight="1" x14ac:dyDescent="0.4">
      <c r="A249" s="856"/>
      <c r="B249" s="842" t="s">
        <v>73</v>
      </c>
      <c r="C249" s="1002" t="s">
        <v>44</v>
      </c>
      <c r="D249" s="885"/>
      <c r="E249" s="11" t="s">
        <v>31</v>
      </c>
      <c r="F249" s="64"/>
      <c r="G249" s="10" t="s">
        <v>168</v>
      </c>
      <c r="H249" s="64"/>
      <c r="I249" s="11">
        <v>28.078924997337403</v>
      </c>
      <c r="J249" s="11">
        <v>14.003294293724482</v>
      </c>
      <c r="K249" s="11">
        <v>20.477506171547937</v>
      </c>
      <c r="L249" s="11">
        <v>29.859948628888905</v>
      </c>
      <c r="M249" s="11">
        <v>33.981450185235616</v>
      </c>
      <c r="N249" s="11">
        <v>3.3673142021675906</v>
      </c>
      <c r="O249" s="11">
        <v>19.20316050014323</v>
      </c>
      <c r="P249" s="11">
        <v>38.488416696452902</v>
      </c>
      <c r="Q249" s="11">
        <v>52.028676183577467</v>
      </c>
      <c r="R249" s="11">
        <v>39.300358002951661</v>
      </c>
      <c r="S249" s="11">
        <v>54.39266252464077</v>
      </c>
      <c r="T249" s="11">
        <v>59.58949244727156</v>
      </c>
      <c r="U249" s="11">
        <v>85.828630656119159</v>
      </c>
      <c r="V249" s="11">
        <v>19.407378412801254</v>
      </c>
      <c r="W249" s="11">
        <v>21.049201422195413</v>
      </c>
      <c r="X249" s="704">
        <v>1.7528135484112446</v>
      </c>
      <c r="Y249" s="11">
        <v>17.329076702058739</v>
      </c>
      <c r="Z249" s="11">
        <v>12.056398064687073</v>
      </c>
      <c r="AA249" s="11">
        <v>47.983835185837414</v>
      </c>
      <c r="AB249" s="11">
        <v>8.2248711263977814</v>
      </c>
      <c r="AC249" s="11">
        <v>0.25239549866666666</v>
      </c>
      <c r="AD249" s="11">
        <v>50.095054390143758</v>
      </c>
      <c r="AE249" s="11">
        <v>23.973493968715886</v>
      </c>
      <c r="AF249" s="11">
        <v>78.828862465477414</v>
      </c>
      <c r="AG249" s="11">
        <v>71.218037488772836</v>
      </c>
      <c r="AH249" s="11">
        <v>149.09981223853765</v>
      </c>
      <c r="AI249" s="11">
        <v>186.28610486189032</v>
      </c>
      <c r="AJ249" s="11">
        <v>213.30217433150287</v>
      </c>
      <c r="AK249" s="11">
        <v>242.53078987824037</v>
      </c>
      <c r="AL249" s="11">
        <v>205.50549032160174</v>
      </c>
      <c r="AM249" s="11">
        <v>77.945079331447673</v>
      </c>
      <c r="AN249" s="11">
        <v>128.49715115063333</v>
      </c>
      <c r="AO249" s="11">
        <v>287.2349714397854</v>
      </c>
      <c r="AP249" s="11">
        <v>332.63504422233115</v>
      </c>
      <c r="AQ249" s="11">
        <v>323.8001434008101</v>
      </c>
      <c r="AR249" s="11">
        <v>286.85559879032058</v>
      </c>
      <c r="AS249" s="12"/>
      <c r="AT249" s="12"/>
      <c r="AU249" s="12"/>
      <c r="AV249" s="12"/>
      <c r="AW249" s="689"/>
      <c r="AX249" s="12"/>
      <c r="AY249" s="12"/>
      <c r="AZ249" s="12"/>
      <c r="BA249" s="12"/>
      <c r="BB249" s="791"/>
      <c r="BC249" s="12"/>
      <c r="BD249" s="12"/>
      <c r="BE249" s="12"/>
      <c r="BF249" s="12"/>
      <c r="BG249" s="12"/>
      <c r="BH249" s="12"/>
      <c r="BI249" s="12"/>
      <c r="BJ249" s="12"/>
      <c r="BK249" s="12"/>
      <c r="BL249" s="12"/>
      <c r="BM249" s="12"/>
      <c r="BN249" s="12"/>
      <c r="BO249" s="12"/>
      <c r="BP249" s="12"/>
      <c r="BQ249" s="12"/>
      <c r="BR249" s="12"/>
      <c r="BS249" s="12"/>
      <c r="BT249" s="12"/>
      <c r="BU249" s="12"/>
      <c r="BV249" s="12"/>
    </row>
    <row r="250" spans="1:74" s="50" customFormat="1" ht="18.600000000000001" customHeight="1" x14ac:dyDescent="0.4">
      <c r="A250" s="856"/>
      <c r="B250" s="842" t="s">
        <v>186</v>
      </c>
      <c r="C250" s="1002" t="s">
        <v>44</v>
      </c>
      <c r="D250" s="885"/>
      <c r="E250" s="25" t="s">
        <v>117</v>
      </c>
      <c r="F250" s="89"/>
      <c r="G250" s="13"/>
      <c r="H250" s="89"/>
      <c r="I250" s="14">
        <v>249.18830307400407</v>
      </c>
      <c r="J250" s="14">
        <v>237.45977851865786</v>
      </c>
      <c r="K250" s="14">
        <v>225.4442383920813</v>
      </c>
      <c r="L250" s="14">
        <v>226.79764254235559</v>
      </c>
      <c r="M250" s="14">
        <v>249.01487170376896</v>
      </c>
      <c r="N250" s="14">
        <v>241.08118647723427</v>
      </c>
      <c r="O250" s="14">
        <v>292.50791574587663</v>
      </c>
      <c r="P250" s="14">
        <v>332.53935096951966</v>
      </c>
      <c r="Q250" s="14">
        <v>392.39611490144415</v>
      </c>
      <c r="R250" s="14">
        <v>405.07151188095168</v>
      </c>
      <c r="S250" s="14">
        <v>464.82674989317411</v>
      </c>
      <c r="T250" s="14">
        <v>411.02433541047156</v>
      </c>
      <c r="U250" s="14">
        <v>397.72441642211913</v>
      </c>
      <c r="V250" s="14">
        <v>354.60769127093454</v>
      </c>
      <c r="W250" s="14">
        <v>403.56010971859541</v>
      </c>
      <c r="X250" s="691">
        <v>426.18286173121129</v>
      </c>
      <c r="Y250" s="14">
        <v>520.53315238765879</v>
      </c>
      <c r="Z250" s="14">
        <v>526.97675625482043</v>
      </c>
      <c r="AA250" s="14">
        <v>478.63744631810414</v>
      </c>
      <c r="AB250" s="14">
        <v>353.83979965119778</v>
      </c>
      <c r="AC250" s="14">
        <v>380.00595044413336</v>
      </c>
      <c r="AD250" s="14">
        <v>474.81457628774382</v>
      </c>
      <c r="AE250" s="14">
        <v>469.05167646871598</v>
      </c>
      <c r="AF250" s="14">
        <v>581.19189766814407</v>
      </c>
      <c r="AG250" s="14">
        <v>656.00557552410612</v>
      </c>
      <c r="AH250" s="14">
        <v>828.22264907893759</v>
      </c>
      <c r="AI250" s="14">
        <v>1110.1413446546903</v>
      </c>
      <c r="AJ250" s="14">
        <v>1368.7391778803028</v>
      </c>
      <c r="AK250" s="14">
        <v>1537.3489427750405</v>
      </c>
      <c r="AL250" s="14">
        <v>1169.1587170293021</v>
      </c>
      <c r="AM250" s="14">
        <v>341.29506994704764</v>
      </c>
      <c r="AN250" s="14">
        <v>614.63775803543331</v>
      </c>
      <c r="AO250" s="14">
        <v>1141.9810049592513</v>
      </c>
      <c r="AP250" s="14">
        <v>1300.2878030343516</v>
      </c>
      <c r="AQ250" s="14">
        <v>1330.8567918985757</v>
      </c>
      <c r="AR250" s="14">
        <v>1296.5031608043207</v>
      </c>
      <c r="AS250" s="12"/>
      <c r="AT250" s="12"/>
      <c r="AU250" s="12"/>
      <c r="AV250" s="12"/>
      <c r="AW250" s="689"/>
      <c r="AX250" s="12"/>
      <c r="AY250" s="12"/>
      <c r="AZ250" s="12"/>
      <c r="BA250" s="12"/>
      <c r="BB250" s="791"/>
      <c r="BC250" s="12"/>
      <c r="BD250" s="12"/>
      <c r="BE250" s="12"/>
      <c r="BF250" s="12"/>
      <c r="BG250" s="12"/>
      <c r="BH250" s="12"/>
      <c r="BI250" s="12"/>
      <c r="BJ250" s="12"/>
      <c r="BK250" s="12"/>
      <c r="BL250" s="12"/>
      <c r="BM250" s="12"/>
      <c r="BN250" s="12"/>
      <c r="BO250" s="12"/>
      <c r="BP250" s="12"/>
      <c r="BQ250" s="12"/>
      <c r="BR250" s="12"/>
      <c r="BS250" s="12"/>
      <c r="BT250" s="12"/>
      <c r="BU250" s="12"/>
      <c r="BV250" s="12"/>
    </row>
    <row r="251" spans="1:74" s="50" customFormat="1" ht="15" x14ac:dyDescent="0.4">
      <c r="A251" s="856"/>
      <c r="B251" s="842"/>
      <c r="C251" s="866"/>
      <c r="D251" s="891"/>
      <c r="E251" s="69"/>
      <c r="F251" s="90"/>
      <c r="G251" s="34"/>
      <c r="H251" s="90"/>
      <c r="I251" s="180"/>
      <c r="J251" s="180"/>
      <c r="K251" s="180"/>
      <c r="L251" s="180"/>
      <c r="M251" s="180"/>
      <c r="N251" s="180"/>
      <c r="O251" s="180"/>
      <c r="P251" s="180"/>
      <c r="Q251" s="180"/>
      <c r="R251" s="180"/>
      <c r="S251" s="180"/>
      <c r="T251" s="180"/>
      <c r="U251" s="180"/>
      <c r="V251" s="180"/>
      <c r="W251" s="180"/>
      <c r="X251" s="792"/>
      <c r="Y251" s="180"/>
      <c r="Z251" s="180"/>
      <c r="AA251" s="180"/>
      <c r="AB251" s="180"/>
      <c r="AC251" s="180"/>
      <c r="AD251" s="180"/>
      <c r="AE251" s="180"/>
      <c r="AF251" s="180"/>
      <c r="AG251" s="180"/>
      <c r="AH251" s="180"/>
      <c r="AI251" s="180"/>
      <c r="AJ251" s="180"/>
      <c r="AK251" s="180"/>
      <c r="AL251" s="180"/>
      <c r="AM251" s="180"/>
      <c r="AN251" s="180"/>
      <c r="AO251" s="180"/>
      <c r="AP251" s="705"/>
      <c r="AQ251" s="705"/>
      <c r="AR251" s="1003"/>
      <c r="AS251" s="35"/>
      <c r="AT251" s="35"/>
      <c r="AU251" s="35"/>
      <c r="AV251" s="35"/>
      <c r="AW251" s="82"/>
      <c r="AX251" s="35"/>
      <c r="AY251" s="35"/>
      <c r="AZ251" s="35"/>
      <c r="BA251" s="35"/>
      <c r="BB251" s="82"/>
      <c r="BC251" s="35"/>
      <c r="BD251" s="35"/>
      <c r="BE251" s="35"/>
      <c r="BF251" s="35"/>
      <c r="BG251" s="35"/>
      <c r="BH251" s="35"/>
      <c r="BI251" s="35"/>
      <c r="BJ251" s="35"/>
      <c r="BK251" s="35"/>
      <c r="BL251" s="35"/>
      <c r="BM251" s="35"/>
      <c r="BN251" s="35"/>
      <c r="BO251" s="35"/>
      <c r="BP251" s="35"/>
      <c r="BQ251" s="35"/>
      <c r="BR251" s="35"/>
      <c r="BS251" s="35"/>
      <c r="BT251" s="35"/>
      <c r="BU251" s="35"/>
      <c r="BV251" s="35"/>
    </row>
    <row r="252" spans="1:74" s="50" customFormat="1" ht="36" customHeight="1" x14ac:dyDescent="0.4">
      <c r="A252" s="856"/>
      <c r="B252" s="833"/>
      <c r="C252" s="1002" t="s">
        <v>44</v>
      </c>
      <c r="D252" s="835"/>
      <c r="E252" s="626" t="str">
        <f>$E$14</f>
        <v>Losunarspá: Sviðsmynd byggð á aðgerðum stjórnvalda</v>
      </c>
      <c r="F252" s="625"/>
      <c r="G252" s="626" t="str">
        <f>$G$14</f>
        <v>Emission Projections: Government Policy-Based Scenario</v>
      </c>
      <c r="H252" s="625"/>
      <c r="I252" s="4"/>
      <c r="J252" s="5" t="s">
        <v>44</v>
      </c>
      <c r="K252" s="6"/>
      <c r="L252" s="7"/>
      <c r="M252" s="8"/>
      <c r="N252" s="6"/>
      <c r="O252" s="6"/>
      <c r="P252" s="6"/>
      <c r="Q252" s="6"/>
      <c r="R252" s="6"/>
      <c r="S252" s="6"/>
      <c r="T252" s="6"/>
      <c r="U252" s="6"/>
      <c r="V252" s="6"/>
      <c r="W252" s="6"/>
      <c r="X252" s="1074"/>
      <c r="Y252" s="6"/>
      <c r="Z252" s="6"/>
      <c r="AA252" s="6"/>
      <c r="AB252" s="6"/>
      <c r="AC252" s="6"/>
      <c r="AD252" s="6"/>
      <c r="AE252" s="6"/>
      <c r="AF252" s="6"/>
      <c r="AG252" s="6"/>
      <c r="AH252" s="6"/>
      <c r="AI252" s="6"/>
      <c r="AJ252" s="6"/>
      <c r="AK252" s="6"/>
      <c r="AL252" s="6"/>
      <c r="AM252" s="6"/>
      <c r="AN252" s="6"/>
      <c r="AO252" s="6"/>
      <c r="AP252" s="6"/>
      <c r="AQ252" s="6"/>
      <c r="AR252" s="6"/>
      <c r="AS252" s="6"/>
      <c r="AT252" s="9"/>
      <c r="AU252" s="9"/>
      <c r="AV252" s="9"/>
      <c r="AW252" s="688"/>
      <c r="AX252" s="9"/>
      <c r="AY252" s="9"/>
      <c r="AZ252" s="9"/>
      <c r="BA252" s="9"/>
      <c r="BB252" s="790"/>
      <c r="BC252" s="9"/>
      <c r="BD252" s="9"/>
      <c r="BE252" s="9"/>
      <c r="BF252" s="9"/>
      <c r="BG252" s="9"/>
      <c r="BH252" s="9"/>
      <c r="BI252" s="9"/>
      <c r="BJ252" s="9"/>
      <c r="BK252" s="9"/>
      <c r="BL252" s="9"/>
      <c r="BM252" s="9"/>
      <c r="BN252" s="9"/>
      <c r="BO252" s="9"/>
      <c r="BP252" s="9"/>
      <c r="BQ252" s="9"/>
      <c r="BR252" s="9"/>
      <c r="BS252" s="9"/>
      <c r="BT252" s="9"/>
      <c r="BU252" s="9"/>
      <c r="BV252" s="9"/>
    </row>
    <row r="253" spans="1:74" s="50" customFormat="1" ht="18" customHeight="1" x14ac:dyDescent="0.4">
      <c r="A253" s="856"/>
      <c r="B253" s="842" t="s">
        <v>72</v>
      </c>
      <c r="C253" s="866" t="str">
        <f t="shared" ref="C253" si="93">B253&amp;" "&amp;D253</f>
        <v>1.D.1.a International Aviationkt CO2-eq WEM</v>
      </c>
      <c r="D253" s="891" t="s">
        <v>377</v>
      </c>
      <c r="E253" s="11" t="s">
        <v>30</v>
      </c>
      <c r="F253" s="64"/>
      <c r="G253" s="10" t="s">
        <v>167</v>
      </c>
      <c r="H253" s="64"/>
      <c r="I253" s="12"/>
      <c r="J253" s="12"/>
      <c r="K253" s="12"/>
      <c r="L253" s="12"/>
      <c r="M253" s="12"/>
      <c r="N253" s="12"/>
      <c r="O253" s="12"/>
      <c r="P253" s="12"/>
      <c r="Q253" s="12"/>
      <c r="R253" s="12"/>
      <c r="S253" s="12"/>
      <c r="T253" s="12"/>
      <c r="U253" s="12"/>
      <c r="V253" s="12"/>
      <c r="W253" s="12"/>
      <c r="X253" s="791"/>
      <c r="Y253" s="12"/>
      <c r="Z253" s="12"/>
      <c r="AA253" s="12"/>
      <c r="AB253" s="12"/>
      <c r="AC253" s="12"/>
      <c r="AD253" s="12"/>
      <c r="AE253" s="12"/>
      <c r="AF253" s="12"/>
      <c r="AG253" s="12"/>
      <c r="AH253" s="12"/>
      <c r="AI253" s="12"/>
      <c r="AJ253" s="12"/>
      <c r="AK253" s="12"/>
      <c r="AL253" s="12"/>
      <c r="AM253" s="12"/>
      <c r="AN253" s="12"/>
      <c r="AO253" s="12"/>
      <c r="AP253" s="161"/>
      <c r="AQ253" s="161"/>
      <c r="AR253" s="168">
        <f>AR248</f>
        <v>1009.6475620140002</v>
      </c>
      <c r="AS253" s="11">
        <v>926.77185468000005</v>
      </c>
      <c r="AT253" s="11">
        <v>936.30327588</v>
      </c>
      <c r="AU253" s="11">
        <v>927.22790530339216</v>
      </c>
      <c r="AV253" s="11">
        <v>936.56929719729624</v>
      </c>
      <c r="AW253" s="704">
        <v>907.30171584864001</v>
      </c>
      <c r="AX253" s="11">
        <v>918.35201505297596</v>
      </c>
      <c r="AY253" s="11">
        <v>927.90788856292795</v>
      </c>
      <c r="AZ253" s="11">
        <v>935.9737558456319</v>
      </c>
      <c r="BA253" s="11">
        <v>942.24385668974401</v>
      </c>
      <c r="BB253" s="704">
        <v>805.72253311367979</v>
      </c>
      <c r="BC253" s="11">
        <v>809.53508603217597</v>
      </c>
      <c r="BD253" s="11">
        <v>812.84050509681606</v>
      </c>
      <c r="BE253" s="11">
        <v>816.14290782326418</v>
      </c>
      <c r="BF253" s="11">
        <v>819.19475996097617</v>
      </c>
      <c r="BG253" s="11">
        <v>677.93325443222398</v>
      </c>
      <c r="BH253" s="11">
        <v>680.86866761625618</v>
      </c>
      <c r="BI253" s="11">
        <v>683.38301243788783</v>
      </c>
      <c r="BJ253" s="11">
        <v>685.90037359771213</v>
      </c>
      <c r="BK253" s="11">
        <v>687.99666639513589</v>
      </c>
      <c r="BL253" s="11">
        <v>606.44621305195199</v>
      </c>
      <c r="BM253" s="11">
        <v>608.10454288079995</v>
      </c>
      <c r="BN253" s="11">
        <v>609.58028958321597</v>
      </c>
      <c r="BO253" s="11">
        <v>610.68483735638392</v>
      </c>
      <c r="BP253" s="11">
        <v>611.78938512955187</v>
      </c>
      <c r="BQ253" s="11">
        <v>316.91974971283202</v>
      </c>
      <c r="BR253" s="11">
        <v>317.58713334129601</v>
      </c>
      <c r="BS253" s="11">
        <v>318.25451696975989</v>
      </c>
      <c r="BT253" s="11">
        <v>318.826990985328</v>
      </c>
      <c r="BU253" s="11">
        <v>319.2066294369119</v>
      </c>
      <c r="BV253" s="11">
        <v>319.58928422668794</v>
      </c>
    </row>
    <row r="254" spans="1:74" s="50" customFormat="1" ht="18" customHeight="1" x14ac:dyDescent="0.4">
      <c r="A254" s="856"/>
      <c r="B254" s="842" t="s">
        <v>73</v>
      </c>
      <c r="C254" s="866" t="str">
        <f t="shared" ref="C254:C255" si="94">B254&amp;" "&amp;D254</f>
        <v>1.D.1.b International Navigation kt CO2-eq WEM</v>
      </c>
      <c r="D254" s="891" t="s">
        <v>377</v>
      </c>
      <c r="E254" s="11" t="s">
        <v>31</v>
      </c>
      <c r="F254" s="64"/>
      <c r="G254" s="10" t="s">
        <v>168</v>
      </c>
      <c r="H254" s="64"/>
      <c r="I254" s="12"/>
      <c r="J254" s="12"/>
      <c r="K254" s="12"/>
      <c r="L254" s="12"/>
      <c r="M254" s="12"/>
      <c r="N254" s="12"/>
      <c r="O254" s="12"/>
      <c r="P254" s="12"/>
      <c r="Q254" s="12"/>
      <c r="R254" s="12"/>
      <c r="S254" s="12"/>
      <c r="T254" s="12"/>
      <c r="U254" s="12"/>
      <c r="V254" s="12"/>
      <c r="W254" s="12"/>
      <c r="X254" s="791"/>
      <c r="Y254" s="12"/>
      <c r="Z254" s="12"/>
      <c r="AA254" s="12"/>
      <c r="AB254" s="12"/>
      <c r="AC254" s="12"/>
      <c r="AD254" s="12"/>
      <c r="AE254" s="12"/>
      <c r="AF254" s="12"/>
      <c r="AG254" s="12"/>
      <c r="AH254" s="12"/>
      <c r="AI254" s="12"/>
      <c r="AJ254" s="12"/>
      <c r="AK254" s="12"/>
      <c r="AL254" s="12"/>
      <c r="AM254" s="12"/>
      <c r="AN254" s="12"/>
      <c r="AO254" s="12"/>
      <c r="AP254" s="161"/>
      <c r="AQ254" s="161"/>
      <c r="AR254" s="168">
        <f>AR249</f>
        <v>286.85559879032058</v>
      </c>
      <c r="AS254" s="11">
        <v>282.04107371642567</v>
      </c>
      <c r="AT254" s="11">
        <v>284.89949303252655</v>
      </c>
      <c r="AU254" s="11">
        <v>287.7516916319438</v>
      </c>
      <c r="AV254" s="11">
        <v>290.59455915633578</v>
      </c>
      <c r="AW254" s="704">
        <v>293.42498524736061</v>
      </c>
      <c r="AX254" s="11">
        <v>291.16977008270106</v>
      </c>
      <c r="AY254" s="11">
        <v>292.74933719343062</v>
      </c>
      <c r="AZ254" s="11">
        <v>293.76425053340165</v>
      </c>
      <c r="BA254" s="11">
        <v>294.46375866120803</v>
      </c>
      <c r="BB254" s="704">
        <v>294.46565013416335</v>
      </c>
      <c r="BC254" s="11">
        <v>293.68644151215415</v>
      </c>
      <c r="BD254" s="11">
        <v>292.63390372949544</v>
      </c>
      <c r="BE254" s="11">
        <v>290.57452662457263</v>
      </c>
      <c r="BF254" s="11">
        <v>287.66785459918253</v>
      </c>
      <c r="BG254" s="11">
        <v>283.76241530690953</v>
      </c>
      <c r="BH254" s="11">
        <v>278.68500206487698</v>
      </c>
      <c r="BI254" s="11">
        <v>272.25937417573073</v>
      </c>
      <c r="BJ254" s="11">
        <v>264.33405929305496</v>
      </c>
      <c r="BK254" s="11">
        <v>254.51131326842031</v>
      </c>
      <c r="BL254" s="11">
        <v>243.21930631429157</v>
      </c>
      <c r="BM254" s="11">
        <v>230.19802570604998</v>
      </c>
      <c r="BN254" s="11">
        <v>215.33838323964321</v>
      </c>
      <c r="BO254" s="11">
        <v>199.3028945252855</v>
      </c>
      <c r="BP254" s="11">
        <v>182.18624229125552</v>
      </c>
      <c r="BQ254" s="11">
        <v>164.24440125746412</v>
      </c>
      <c r="BR254" s="11">
        <v>146.30036876145198</v>
      </c>
      <c r="BS254" s="11">
        <v>128.53655032072868</v>
      </c>
      <c r="BT254" s="11">
        <v>111.55261657760424</v>
      </c>
      <c r="BU254" s="11">
        <v>95.808814301150548</v>
      </c>
      <c r="BV254" s="11">
        <v>81.358926619438208</v>
      </c>
    </row>
    <row r="255" spans="1:74" s="50" customFormat="1" ht="18" customHeight="1" x14ac:dyDescent="0.4">
      <c r="A255" s="856"/>
      <c r="B255" s="842" t="s">
        <v>212</v>
      </c>
      <c r="C255" s="866" t="str">
        <f t="shared" si="94"/>
        <v>1.D memo items (do not count towards national totals)kt CO2-eq WEM</v>
      </c>
      <c r="D255" s="891" t="s">
        <v>377</v>
      </c>
      <c r="E255" s="25" t="s">
        <v>117</v>
      </c>
      <c r="F255" s="89"/>
      <c r="G255" s="13"/>
      <c r="H255" s="89"/>
      <c r="I255" s="12"/>
      <c r="J255" s="12"/>
      <c r="K255" s="12"/>
      <c r="L255" s="12"/>
      <c r="M255" s="12"/>
      <c r="N255" s="12"/>
      <c r="O255" s="12"/>
      <c r="P255" s="12"/>
      <c r="Q255" s="12"/>
      <c r="R255" s="12"/>
      <c r="S255" s="12"/>
      <c r="T255" s="12"/>
      <c r="U255" s="12"/>
      <c r="V255" s="12"/>
      <c r="W255" s="12"/>
      <c r="X255" s="791"/>
      <c r="Y255" s="12"/>
      <c r="Z255" s="12"/>
      <c r="AA255" s="12"/>
      <c r="AB255" s="12"/>
      <c r="AC255" s="12"/>
      <c r="AD255" s="12"/>
      <c r="AE255" s="12"/>
      <c r="AF255" s="12"/>
      <c r="AG255" s="12"/>
      <c r="AH255" s="12"/>
      <c r="AI255" s="12"/>
      <c r="AJ255" s="12"/>
      <c r="AK255" s="12"/>
      <c r="AL255" s="12"/>
      <c r="AM255" s="12"/>
      <c r="AN255" s="12"/>
      <c r="AO255" s="12"/>
      <c r="AP255" s="161"/>
      <c r="AQ255" s="161"/>
      <c r="AR255" s="168">
        <f>AR250</f>
        <v>1296.5031608043207</v>
      </c>
      <c r="AS255" s="14">
        <v>1208.8129283964258</v>
      </c>
      <c r="AT255" s="14">
        <v>1221.2027689125266</v>
      </c>
      <c r="AU255" s="14">
        <v>1214.9795969353358</v>
      </c>
      <c r="AV255" s="14">
        <v>1227.1638563536319</v>
      </c>
      <c r="AW255" s="691">
        <v>1200.7267010960009</v>
      </c>
      <c r="AX255" s="14">
        <v>1209.521785135677</v>
      </c>
      <c r="AY255" s="14">
        <v>1220.6572257563585</v>
      </c>
      <c r="AZ255" s="14">
        <v>1229.7380063790335</v>
      </c>
      <c r="BA255" s="14">
        <v>1236.707615350952</v>
      </c>
      <c r="BB255" s="691">
        <v>1100.1881832478432</v>
      </c>
      <c r="BC255" s="14">
        <v>1103.22152754433</v>
      </c>
      <c r="BD255" s="14">
        <v>1105.4744088263114</v>
      </c>
      <c r="BE255" s="14">
        <v>1106.7174344478367</v>
      </c>
      <c r="BF255" s="14">
        <v>1106.8626145601588</v>
      </c>
      <c r="BG255" s="14">
        <v>961.69566973913356</v>
      </c>
      <c r="BH255" s="14">
        <v>959.5536696811331</v>
      </c>
      <c r="BI255" s="14">
        <v>955.64238661361867</v>
      </c>
      <c r="BJ255" s="14">
        <v>950.23443289076715</v>
      </c>
      <c r="BK255" s="14">
        <v>942.50797966355617</v>
      </c>
      <c r="BL255" s="14">
        <v>849.66551936624364</v>
      </c>
      <c r="BM255" s="14">
        <v>838.30256858685004</v>
      </c>
      <c r="BN255" s="14">
        <v>824.91867282285921</v>
      </c>
      <c r="BO255" s="14">
        <v>809.98773188166945</v>
      </c>
      <c r="BP255" s="14">
        <v>793.97562742080743</v>
      </c>
      <c r="BQ255" s="14">
        <v>481.16415097029608</v>
      </c>
      <c r="BR255" s="14">
        <v>463.88750210274793</v>
      </c>
      <c r="BS255" s="14">
        <v>446.79106729048851</v>
      </c>
      <c r="BT255" s="14">
        <v>430.37960756293222</v>
      </c>
      <c r="BU255" s="14">
        <v>415.0154437380624</v>
      </c>
      <c r="BV255" s="14">
        <v>400.94821084612619</v>
      </c>
    </row>
    <row r="256" spans="1:74" s="50" customFormat="1" ht="15" x14ac:dyDescent="0.4">
      <c r="A256" s="856"/>
      <c r="B256" s="842"/>
      <c r="C256" s="866"/>
      <c r="D256" s="891"/>
      <c r="E256" s="69"/>
      <c r="F256" s="90"/>
      <c r="G256" s="34"/>
      <c r="H256" s="90"/>
      <c r="I256" s="180"/>
      <c r="J256" s="180"/>
      <c r="K256" s="180"/>
      <c r="L256" s="180"/>
      <c r="M256" s="180"/>
      <c r="N256" s="180"/>
      <c r="O256" s="180"/>
      <c r="P256" s="180"/>
      <c r="Q256" s="180"/>
      <c r="R256" s="180"/>
      <c r="S256" s="180"/>
      <c r="T256" s="180"/>
      <c r="U256" s="180"/>
      <c r="V256" s="180"/>
      <c r="W256" s="180"/>
      <c r="X256" s="792"/>
      <c r="Y256" s="180"/>
      <c r="Z256" s="180"/>
      <c r="AA256" s="180"/>
      <c r="AB256" s="180"/>
      <c r="AC256" s="180"/>
      <c r="AD256" s="180"/>
      <c r="AE256" s="180"/>
      <c r="AF256" s="180"/>
      <c r="AG256" s="180"/>
      <c r="AH256" s="180"/>
      <c r="AI256" s="180"/>
      <c r="AJ256" s="180"/>
      <c r="AK256" s="180"/>
      <c r="AL256" s="180"/>
      <c r="AM256" s="180"/>
      <c r="AN256" s="180"/>
      <c r="AO256" s="180"/>
      <c r="AP256" s="705"/>
      <c r="AQ256" s="705"/>
      <c r="AR256" s="1003"/>
      <c r="AS256" s="35"/>
      <c r="AT256" s="35"/>
      <c r="AU256" s="35"/>
      <c r="AV256" s="35"/>
      <c r="AW256" s="82"/>
      <c r="AX256" s="35"/>
      <c r="AY256" s="35"/>
      <c r="AZ256" s="35"/>
      <c r="BA256" s="35"/>
      <c r="BB256" s="82"/>
      <c r="BC256" s="35"/>
      <c r="BD256" s="35"/>
      <c r="BE256" s="35"/>
      <c r="BF256" s="35"/>
      <c r="BG256" s="35"/>
      <c r="BH256" s="35"/>
      <c r="BI256" s="35"/>
      <c r="BJ256" s="35"/>
      <c r="BK256" s="35"/>
      <c r="BL256" s="35"/>
      <c r="BM256" s="35"/>
      <c r="BN256" s="35"/>
      <c r="BO256" s="35"/>
      <c r="BP256" s="35"/>
      <c r="BQ256" s="35"/>
      <c r="BR256" s="35"/>
      <c r="BS256" s="35"/>
      <c r="BT256" s="35"/>
      <c r="BU256" s="35"/>
      <c r="BV256" s="35"/>
    </row>
    <row r="257" spans="1:88" s="1127" customFormat="1" ht="15.6" thickBot="1" x14ac:dyDescent="0.45">
      <c r="A257" s="1124"/>
      <c r="B257" s="1124"/>
      <c r="C257" s="1125"/>
      <c r="D257" s="1124"/>
      <c r="E257" s="999"/>
      <c r="F257" s="1126"/>
      <c r="H257" s="1126"/>
      <c r="X257" s="1129"/>
      <c r="AW257" s="1128"/>
      <c r="BB257" s="1129"/>
    </row>
    <row r="258" spans="1:88" s="50" customFormat="1" ht="17.399999999999999" thickTop="1" x14ac:dyDescent="0.4">
      <c r="A258" s="856"/>
      <c r="B258" s="842"/>
      <c r="C258" s="1002"/>
      <c r="D258" s="903"/>
      <c r="E258" s="58"/>
      <c r="F258" s="1029"/>
      <c r="G258" s="57"/>
      <c r="H258" s="1029"/>
      <c r="I258" s="60"/>
      <c r="J258" s="60"/>
      <c r="K258" s="60"/>
      <c r="L258" s="60"/>
      <c r="M258" s="60"/>
      <c r="N258" s="60"/>
      <c r="O258" s="60"/>
      <c r="P258" s="60"/>
      <c r="Q258" s="60"/>
      <c r="R258" s="60"/>
      <c r="S258" s="60"/>
      <c r="T258" s="60"/>
      <c r="U258" s="60"/>
      <c r="V258" s="60"/>
      <c r="W258" s="60"/>
      <c r="X258" s="77"/>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94"/>
      <c r="AX258" s="60"/>
      <c r="BB258" s="794"/>
    </row>
    <row r="259" spans="1:88" s="50" customFormat="1" x14ac:dyDescent="0.4">
      <c r="A259" s="856"/>
      <c r="B259" s="842"/>
      <c r="C259" s="1002"/>
      <c r="D259" s="885"/>
      <c r="E259" s="58"/>
      <c r="F259" s="1029"/>
      <c r="G259" s="57"/>
      <c r="H259" s="1029"/>
      <c r="I259" s="60"/>
      <c r="J259" s="60"/>
      <c r="K259" s="60"/>
      <c r="L259" s="60"/>
      <c r="M259" s="60"/>
      <c r="N259" s="60"/>
      <c r="O259" s="60"/>
      <c r="P259" s="60"/>
      <c r="Q259" s="60"/>
      <c r="R259" s="60"/>
      <c r="S259" s="60"/>
      <c r="T259" s="60"/>
      <c r="U259" s="60"/>
      <c r="V259" s="60"/>
      <c r="W259" s="60"/>
      <c r="X259" s="77"/>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94"/>
      <c r="AX259" s="60"/>
      <c r="BB259" s="794"/>
    </row>
    <row r="260" spans="1:88" s="1195" customFormat="1" ht="47.4" customHeight="1" x14ac:dyDescent="0.7">
      <c r="A260" s="990"/>
      <c r="B260" s="840"/>
      <c r="C260" s="872" t="s">
        <v>44</v>
      </c>
      <c r="D260" s="1190"/>
      <c r="E260" s="898" t="s">
        <v>436</v>
      </c>
      <c r="F260" s="1030"/>
      <c r="G260" s="1191"/>
      <c r="H260" s="1030"/>
      <c r="I260" s="1191"/>
      <c r="J260" s="350"/>
      <c r="K260" s="350"/>
      <c r="L260" s="350"/>
      <c r="M260" s="350"/>
      <c r="N260" s="350"/>
      <c r="O260" s="350"/>
      <c r="P260" s="350"/>
      <c r="Q260" s="350"/>
      <c r="R260" s="350"/>
      <c r="S260" s="350"/>
      <c r="T260" s="350"/>
      <c r="U260" s="350"/>
      <c r="V260" s="350"/>
      <c r="W260" s="350"/>
      <c r="X260" s="1304"/>
      <c r="Y260" s="350"/>
      <c r="Z260" s="350"/>
      <c r="AA260" s="350"/>
      <c r="AB260" s="350"/>
      <c r="AC260" s="350"/>
      <c r="AD260" s="1192"/>
      <c r="AE260" s="1192"/>
      <c r="AF260" s="1192"/>
      <c r="AG260" s="1192"/>
      <c r="AH260" s="1192"/>
      <c r="AI260" s="1192"/>
      <c r="AJ260" s="1192"/>
      <c r="AK260" s="1192"/>
      <c r="AL260" s="1192"/>
      <c r="AM260" s="1192"/>
      <c r="AN260" s="1192"/>
      <c r="AO260" s="1192"/>
      <c r="AP260" s="1192"/>
      <c r="AQ260" s="1192"/>
      <c r="AR260" s="1192"/>
      <c r="AS260" s="1192"/>
      <c r="AT260" s="1192"/>
      <c r="AU260" s="1192"/>
      <c r="AV260" s="1192"/>
      <c r="AW260" s="1193"/>
      <c r="AX260" s="1192"/>
      <c r="AY260" s="1192"/>
      <c r="AZ260" s="1192"/>
      <c r="BA260" s="1192"/>
      <c r="BB260" s="1194"/>
      <c r="BC260" s="1192"/>
      <c r="BD260" s="1192"/>
      <c r="BE260" s="1192"/>
      <c r="BF260" s="1192"/>
      <c r="BG260" s="1192"/>
      <c r="BH260" s="1192"/>
      <c r="BI260" s="1192"/>
      <c r="BJ260" s="1192"/>
      <c r="BK260" s="1192"/>
      <c r="BL260" s="1192"/>
      <c r="BM260" s="1192"/>
      <c r="BN260" s="1192"/>
      <c r="BO260" s="1192"/>
      <c r="BP260" s="1192"/>
      <c r="BQ260" s="1192"/>
      <c r="BR260" s="1192"/>
      <c r="BS260" s="1192"/>
      <c r="BT260" s="1192"/>
      <c r="BU260" s="1192"/>
      <c r="BV260" s="1192"/>
    </row>
    <row r="261" spans="1:88" s="1245" customFormat="1" ht="48" customHeight="1" x14ac:dyDescent="0.4">
      <c r="A261" s="857"/>
      <c r="B261" s="1214"/>
      <c r="C261" s="873"/>
      <c r="D261" s="1215"/>
      <c r="E261" s="359"/>
      <c r="F261" s="362"/>
      <c r="G261" s="1242"/>
      <c r="H261" s="362"/>
      <c r="I261" s="1145"/>
      <c r="J261" s="1243"/>
      <c r="K261" s="1145"/>
      <c r="L261" s="1243"/>
      <c r="M261" s="1145"/>
      <c r="N261" s="1243"/>
      <c r="O261" s="1145"/>
      <c r="P261" s="1243"/>
      <c r="Q261" s="1145"/>
      <c r="R261" s="1243"/>
      <c r="S261" s="1145"/>
      <c r="T261" s="1243"/>
      <c r="U261" s="1145"/>
      <c r="V261" s="1243"/>
      <c r="W261" s="1145"/>
      <c r="X261" s="1305"/>
      <c r="Y261" s="1145"/>
      <c r="Z261" s="1145"/>
      <c r="AA261" s="1145"/>
      <c r="AB261" s="1145"/>
      <c r="AC261" s="1145"/>
      <c r="AD261" s="1145"/>
      <c r="AE261" s="1145"/>
      <c r="AF261" s="1145"/>
      <c r="AG261" s="1145"/>
      <c r="AH261" s="1145"/>
      <c r="AI261" s="1145"/>
      <c r="AJ261" s="1145"/>
      <c r="AK261" s="1145"/>
      <c r="AL261" s="1145"/>
      <c r="AM261" s="1145"/>
      <c r="AN261" s="1145"/>
      <c r="AO261" s="1145"/>
      <c r="AP261" s="1145"/>
      <c r="AQ261" s="1145"/>
      <c r="AR261" s="1145"/>
      <c r="AS261" s="1145"/>
      <c r="AT261" s="1145"/>
      <c r="AU261" s="1145"/>
      <c r="AV261" s="1145"/>
      <c r="AW261" s="1146"/>
      <c r="AX261" s="1145"/>
      <c r="AY261" s="1145"/>
      <c r="AZ261" s="1145"/>
      <c r="BA261" s="1145"/>
      <c r="BB261" s="1146"/>
      <c r="BC261" s="1145"/>
      <c r="BD261" s="1145"/>
      <c r="BE261" s="1145"/>
      <c r="BF261" s="1145"/>
      <c r="BG261" s="1145"/>
      <c r="BH261" s="1145"/>
      <c r="BI261" s="1145"/>
      <c r="BJ261" s="1145"/>
      <c r="BK261" s="1145"/>
      <c r="BL261" s="1145"/>
      <c r="BM261" s="1145"/>
      <c r="BN261" s="1145"/>
      <c r="BO261" s="1145"/>
      <c r="BP261" s="1145"/>
      <c r="BQ261" s="1145"/>
      <c r="BR261" s="1145"/>
      <c r="BS261" s="1145"/>
      <c r="BT261" s="1145"/>
      <c r="BU261" s="1145"/>
      <c r="BV261" s="1145"/>
      <c r="BW261" s="1244"/>
      <c r="BX261" s="1244"/>
      <c r="BY261" s="1244"/>
      <c r="BZ261" s="1244"/>
      <c r="CA261" s="1244"/>
      <c r="CB261" s="1244"/>
      <c r="CC261" s="1244"/>
      <c r="CD261" s="1244"/>
      <c r="CE261" s="1244"/>
      <c r="CF261" s="1244"/>
      <c r="CG261" s="1244"/>
      <c r="CH261" s="1244"/>
      <c r="CI261" s="1244"/>
      <c r="CJ261" s="1244"/>
    </row>
    <row r="262" spans="1:88" ht="18" customHeight="1" x14ac:dyDescent="0.4">
      <c r="B262" s="843"/>
      <c r="C262" s="869"/>
      <c r="D262" s="891"/>
      <c r="E262" s="35"/>
      <c r="F262" s="90"/>
      <c r="G262" s="35"/>
      <c r="H262" s="90"/>
      <c r="I262" s="35"/>
      <c r="J262" s="35"/>
      <c r="K262" s="35"/>
      <c r="L262" s="35"/>
      <c r="M262" s="35"/>
      <c r="N262" s="35"/>
      <c r="O262" s="35"/>
      <c r="P262" s="35"/>
      <c r="Q262" s="35"/>
      <c r="R262" s="35"/>
      <c r="S262" s="35"/>
      <c r="T262" s="35"/>
      <c r="U262" s="35"/>
      <c r="V262" s="35"/>
      <c r="W262" s="35"/>
      <c r="X262" s="790"/>
      <c r="Y262" s="51"/>
      <c r="Z262" s="51"/>
      <c r="AA262" s="51"/>
      <c r="AB262" s="51"/>
      <c r="AC262" s="51"/>
      <c r="AD262" s="51"/>
      <c r="AE262" s="51"/>
      <c r="AF262" s="51"/>
      <c r="AG262" s="51"/>
      <c r="AH262" s="51"/>
      <c r="AI262" s="51"/>
      <c r="AJ262" s="51"/>
      <c r="AK262" s="51"/>
      <c r="AL262" s="51"/>
      <c r="AM262" s="51"/>
      <c r="AN262" s="51"/>
      <c r="AO262" s="51"/>
      <c r="AP262" s="51"/>
      <c r="AQ262" s="51"/>
      <c r="AR262" s="66"/>
      <c r="AS262" s="65"/>
      <c r="AT262" s="65"/>
      <c r="AU262" s="65"/>
      <c r="AV262" s="65"/>
      <c r="AW262" s="693"/>
      <c r="AX262" s="65"/>
      <c r="AY262" s="65"/>
      <c r="AZ262" s="65"/>
      <c r="BA262" s="65"/>
      <c r="BB262" s="795"/>
      <c r="BC262" s="65"/>
      <c r="BD262" s="65"/>
      <c r="BE262" s="65"/>
      <c r="BF262" s="65"/>
      <c r="BG262" s="65"/>
      <c r="BH262" s="65"/>
      <c r="BI262" s="65"/>
      <c r="BJ262" s="65"/>
      <c r="BK262" s="65"/>
      <c r="BL262" s="65"/>
      <c r="BM262" s="65"/>
      <c r="BN262" s="65"/>
      <c r="BO262" s="65"/>
      <c r="BP262" s="65"/>
      <c r="BQ262" s="65"/>
      <c r="BR262" s="65"/>
      <c r="BS262" s="65"/>
      <c r="BT262" s="65"/>
      <c r="BU262" s="65"/>
      <c r="BV262" s="65"/>
      <c r="BW262" s="50"/>
      <c r="BX262" s="50"/>
      <c r="BY262" s="50"/>
      <c r="BZ262" s="50"/>
      <c r="CA262" s="50"/>
      <c r="CB262" s="50"/>
    </row>
    <row r="263" spans="1:88" s="50" customFormat="1" x14ac:dyDescent="0.4">
      <c r="A263" s="856"/>
      <c r="B263" s="841"/>
      <c r="C263" s="878"/>
      <c r="D263" s="884"/>
      <c r="E263" s="355" t="str">
        <f>$E$5</f>
        <v>Söguleg losun</v>
      </c>
      <c r="F263" s="94"/>
      <c r="G263" s="3" t="s">
        <v>330</v>
      </c>
      <c r="H263" s="94"/>
      <c r="I263" s="3"/>
      <c r="J263" s="3"/>
      <c r="K263" s="3"/>
      <c r="L263" s="3"/>
      <c r="M263" s="3"/>
      <c r="N263" s="3"/>
      <c r="O263" s="3"/>
      <c r="P263" s="3"/>
      <c r="Q263" s="3"/>
      <c r="R263" s="3"/>
      <c r="S263" s="3"/>
      <c r="T263" s="3"/>
      <c r="U263" s="3"/>
      <c r="V263" s="3"/>
      <c r="W263" s="3"/>
      <c r="X263" s="692"/>
      <c r="Y263" s="61"/>
      <c r="Z263" s="61"/>
      <c r="AA263" s="61"/>
      <c r="AB263" s="61"/>
      <c r="AC263" s="61"/>
      <c r="AD263" s="61"/>
      <c r="AE263" s="61"/>
      <c r="AF263" s="61"/>
      <c r="AG263" s="61"/>
      <c r="AH263" s="61"/>
      <c r="AI263" s="61"/>
      <c r="AJ263" s="61"/>
      <c r="AK263" s="61"/>
      <c r="AL263" s="61"/>
      <c r="AM263" s="61"/>
      <c r="AN263" s="61"/>
      <c r="AO263" s="61"/>
      <c r="AP263" s="61"/>
      <c r="AQ263" s="61"/>
      <c r="AR263" s="62"/>
      <c r="AS263" s="62"/>
      <c r="AT263" s="63"/>
      <c r="AU263" s="63"/>
      <c r="AV263" s="63"/>
      <c r="AW263" s="621"/>
      <c r="AX263" s="63"/>
      <c r="AY263" s="63"/>
      <c r="AZ263" s="63"/>
      <c r="BA263" s="63"/>
      <c r="BB263" s="621"/>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row>
    <row r="264" spans="1:88" s="50" customFormat="1" ht="18" customHeight="1" x14ac:dyDescent="0.4">
      <c r="A264" s="856"/>
      <c r="B264" s="842" t="s">
        <v>78</v>
      </c>
      <c r="C264" s="879" t="s">
        <v>307</v>
      </c>
      <c r="D264" s="884" t="s">
        <v>44</v>
      </c>
      <c r="E264" s="64" t="s">
        <v>113</v>
      </c>
      <c r="F264" s="1031"/>
      <c r="G264" s="64" t="s">
        <v>220</v>
      </c>
      <c r="H264" s="1031"/>
      <c r="I264" s="12"/>
      <c r="J264" s="12"/>
      <c r="K264" s="12"/>
      <c r="L264" s="12"/>
      <c r="M264" s="12"/>
      <c r="N264" s="12"/>
      <c r="O264" s="12"/>
      <c r="P264" s="12"/>
      <c r="Q264" s="12"/>
      <c r="R264" s="12"/>
      <c r="S264" s="12"/>
      <c r="T264" s="12"/>
      <c r="U264" s="12"/>
      <c r="V264" s="12"/>
      <c r="W264" s="12"/>
      <c r="X264" s="704">
        <v>852.8829310927872</v>
      </c>
      <c r="Y264" s="11">
        <v>1273.7572023640969</v>
      </c>
      <c r="Z264" s="11">
        <v>1414.5983388630543</v>
      </c>
      <c r="AA264" s="11">
        <v>1931.1151277677466</v>
      </c>
      <c r="AB264" s="11">
        <v>1764.1449942061063</v>
      </c>
      <c r="AC264" s="11">
        <v>1783.4334517036384</v>
      </c>
      <c r="AD264" s="11">
        <v>1680.8912393315998</v>
      </c>
      <c r="AE264" s="11">
        <v>1754.8609910767771</v>
      </c>
      <c r="AF264" s="11">
        <v>1773.5231928041781</v>
      </c>
      <c r="AG264" s="11">
        <v>1744.9715736278213</v>
      </c>
      <c r="AH264" s="11">
        <v>1801.5981907139037</v>
      </c>
      <c r="AI264" s="11">
        <v>1771.6683497563386</v>
      </c>
      <c r="AJ264" s="11">
        <v>1824.7934949065466</v>
      </c>
      <c r="AK264" s="11">
        <v>1846.9543490538742</v>
      </c>
      <c r="AL264" s="11">
        <v>1788.0088506002819</v>
      </c>
      <c r="AM264" s="11">
        <v>1752.0332140392577</v>
      </c>
      <c r="AN264" s="11">
        <v>1828.02</v>
      </c>
      <c r="AO264" s="11">
        <v>1875.076</v>
      </c>
      <c r="AP264" s="11">
        <v>1812.53</v>
      </c>
      <c r="AQ264" s="11">
        <v>1889.154</v>
      </c>
      <c r="AR264" s="11">
        <v>1676.5843667418656</v>
      </c>
      <c r="AS264" s="12"/>
      <c r="AT264" s="12"/>
      <c r="AU264" s="12"/>
      <c r="AV264" s="12"/>
      <c r="AW264" s="689"/>
      <c r="AX264" s="12"/>
      <c r="AY264" s="12"/>
      <c r="AZ264" s="12"/>
      <c r="BA264" s="12"/>
      <c r="BB264" s="791"/>
      <c r="BC264" s="12"/>
      <c r="BD264" s="12"/>
      <c r="BE264" s="12"/>
      <c r="BF264" s="12"/>
      <c r="BG264" s="12"/>
      <c r="BH264" s="12"/>
      <c r="BI264" s="12"/>
      <c r="BJ264" s="12"/>
      <c r="BK264" s="12"/>
      <c r="BL264" s="12"/>
      <c r="BM264" s="12"/>
      <c r="BN264" s="12"/>
      <c r="BO264" s="12"/>
      <c r="BP264" s="12"/>
      <c r="BQ264" s="12"/>
      <c r="BR264" s="12"/>
      <c r="BS264" s="12"/>
      <c r="BT264" s="12"/>
      <c r="BU264" s="12"/>
      <c r="BV264" s="12"/>
    </row>
    <row r="265" spans="1:88" s="50" customFormat="1" ht="18" customHeight="1" x14ac:dyDescent="0.4">
      <c r="A265" s="856"/>
      <c r="B265" s="842" t="s">
        <v>79</v>
      </c>
      <c r="C265" s="879" t="s">
        <v>308</v>
      </c>
      <c r="D265" s="884" t="s">
        <v>44</v>
      </c>
      <c r="E265" s="64" t="s">
        <v>210</v>
      </c>
      <c r="F265" s="1130" t="s">
        <v>399</v>
      </c>
      <c r="G265" s="64" t="s">
        <v>109</v>
      </c>
      <c r="H265" s="64" t="s">
        <v>400</v>
      </c>
      <c r="I265" s="12"/>
      <c r="J265" s="12"/>
      <c r="K265" s="12"/>
      <c r="L265" s="12"/>
      <c r="M265" s="12"/>
      <c r="N265" s="12"/>
      <c r="O265" s="12"/>
      <c r="P265" s="12"/>
      <c r="Q265" s="12"/>
      <c r="R265" s="12"/>
      <c r="S265" s="12"/>
      <c r="T265" s="12"/>
      <c r="U265" s="12"/>
      <c r="V265" s="12"/>
      <c r="W265" s="12"/>
      <c r="X265" s="704">
        <v>26.007138153333333</v>
      </c>
      <c r="Y265" s="11">
        <v>28.138312839999998</v>
      </c>
      <c r="Z265" s="11">
        <v>22.051151063333332</v>
      </c>
      <c r="AA265" s="11">
        <v>26.235003593333332</v>
      </c>
      <c r="AB265" s="11">
        <v>21.786911006666664</v>
      </c>
      <c r="AC265" s="11">
        <v>21.137412779999998</v>
      </c>
      <c r="AD265" s="11">
        <v>20.279152960000001</v>
      </c>
      <c r="AE265" s="11">
        <v>20.86468747</v>
      </c>
      <c r="AF265" s="11">
        <v>19.615938723333336</v>
      </c>
      <c r="AG265" s="11">
        <v>19.549418533333334</v>
      </c>
      <c r="AH265" s="11">
        <v>20.441658636666666</v>
      </c>
      <c r="AI265" s="11">
        <v>22.574404196666666</v>
      </c>
      <c r="AJ265" s="11">
        <v>22.95845761</v>
      </c>
      <c r="AK265" s="11">
        <v>24.583191306666667</v>
      </c>
      <c r="AL265" s="11">
        <v>27.755915457878668</v>
      </c>
      <c r="AM265" s="11">
        <v>13.1457037426</v>
      </c>
      <c r="AN265" s="11">
        <v>20.735413380000001</v>
      </c>
      <c r="AO265" s="11">
        <v>24.085325513333334</v>
      </c>
      <c r="AP265" s="11">
        <v>22.340912733333333</v>
      </c>
      <c r="AQ265" s="11">
        <v>20.344146606666669</v>
      </c>
      <c r="AR265" s="11">
        <v>19.074136583333335</v>
      </c>
      <c r="AS265" s="12"/>
      <c r="AT265" s="12"/>
      <c r="AU265" s="12"/>
      <c r="AV265" s="12"/>
      <c r="AW265" s="689"/>
      <c r="AX265" s="12"/>
      <c r="AY265" s="12"/>
      <c r="AZ265" s="12"/>
      <c r="BA265" s="12"/>
      <c r="BB265" s="791"/>
      <c r="BC265" s="12"/>
      <c r="BD265" s="12"/>
      <c r="BE265" s="12"/>
      <c r="BF265" s="12"/>
      <c r="BG265" s="12"/>
      <c r="BH265" s="12"/>
      <c r="BI265" s="12"/>
      <c r="BJ265" s="12"/>
      <c r="BK265" s="12"/>
      <c r="BL265" s="12"/>
      <c r="BM265" s="12"/>
      <c r="BN265" s="12"/>
      <c r="BO265" s="12"/>
      <c r="BP265" s="12"/>
      <c r="BQ265" s="12"/>
      <c r="BR265" s="12"/>
      <c r="BS265" s="12"/>
      <c r="BT265" s="12"/>
      <c r="BU265" s="12"/>
      <c r="BV265" s="12"/>
    </row>
    <row r="266" spans="1:88" s="50" customFormat="1" ht="18" customHeight="1" x14ac:dyDescent="0.4">
      <c r="A266" s="856"/>
      <c r="B266" s="842" t="s">
        <v>98</v>
      </c>
      <c r="C266" s="879" t="s">
        <v>305</v>
      </c>
      <c r="D266" s="884" t="s">
        <v>44</v>
      </c>
      <c r="E266" s="64" t="s">
        <v>114</v>
      </c>
      <c r="F266" s="1031"/>
      <c r="G266" s="11" t="s">
        <v>115</v>
      </c>
      <c r="H266" s="1031"/>
      <c r="I266" s="12"/>
      <c r="J266" s="12"/>
      <c r="K266" s="12"/>
      <c r="L266" s="12"/>
      <c r="M266" s="12"/>
      <c r="N266" s="12"/>
      <c r="O266" s="12"/>
      <c r="P266" s="12"/>
      <c r="Q266" s="12"/>
      <c r="R266" s="12"/>
      <c r="S266" s="12"/>
      <c r="T266" s="12"/>
      <c r="U266" s="12"/>
      <c r="V266" s="12"/>
      <c r="W266" s="12"/>
      <c r="X266" s="704">
        <v>3228.5965871427366</v>
      </c>
      <c r="Y266" s="11">
        <v>3363.7287976236048</v>
      </c>
      <c r="Z266" s="11">
        <v>3536.286607648171</v>
      </c>
      <c r="AA266" s="11">
        <v>3397.2861026619589</v>
      </c>
      <c r="AB266" s="11">
        <v>3263.0088635748789</v>
      </c>
      <c r="AC266" s="11">
        <v>3147.6181696061976</v>
      </c>
      <c r="AD266" s="11">
        <v>3037.8934469959695</v>
      </c>
      <c r="AE266" s="11">
        <v>2957.5163356270214</v>
      </c>
      <c r="AF266" s="11">
        <v>2943.5585810018592</v>
      </c>
      <c r="AG266" s="11">
        <v>2993.4234080880133</v>
      </c>
      <c r="AH266" s="11">
        <v>3006.1037985559765</v>
      </c>
      <c r="AI266" s="11">
        <v>2991.5872022970261</v>
      </c>
      <c r="AJ266" s="11">
        <v>3020.7467870404594</v>
      </c>
      <c r="AK266" s="11">
        <v>3059.8158068663915</v>
      </c>
      <c r="AL266" s="11">
        <v>2974.9796223986796</v>
      </c>
      <c r="AM266" s="11">
        <v>2820.1316596399279</v>
      </c>
      <c r="AN266" s="11">
        <v>2875.4359907169996</v>
      </c>
      <c r="AO266" s="11">
        <v>2884.6989180979954</v>
      </c>
      <c r="AP266" s="11">
        <v>2815.3708014671465</v>
      </c>
      <c r="AQ266" s="11">
        <v>2872.5963379852146</v>
      </c>
      <c r="AR266" s="11">
        <v>2793.7564234823058</v>
      </c>
      <c r="AS266" s="12"/>
      <c r="AT266" s="12"/>
      <c r="AU266" s="12"/>
      <c r="AV266" s="12"/>
      <c r="AW266" s="689"/>
      <c r="AX266" s="12"/>
      <c r="AY266" s="12"/>
      <c r="AZ266" s="12"/>
      <c r="BA266" s="12"/>
      <c r="BB266" s="791"/>
      <c r="BC266" s="12"/>
      <c r="BD266" s="12"/>
      <c r="BE266" s="12"/>
      <c r="BF266" s="12"/>
      <c r="BG266" s="12"/>
      <c r="BH266" s="12"/>
      <c r="BI266" s="12"/>
      <c r="BJ266" s="12"/>
      <c r="BK266" s="12"/>
      <c r="BL266" s="12"/>
      <c r="BM266" s="12"/>
      <c r="BN266" s="12"/>
      <c r="BO266" s="12"/>
      <c r="BP266" s="12"/>
      <c r="BQ266" s="12"/>
      <c r="BR266" s="12"/>
      <c r="BS266" s="12"/>
      <c r="BT266" s="12"/>
      <c r="BU266" s="12"/>
      <c r="BV266" s="12"/>
    </row>
    <row r="267" spans="1:88" s="50" customFormat="1" ht="18" customHeight="1" x14ac:dyDescent="0.4">
      <c r="A267" s="856"/>
      <c r="B267" s="842" t="s">
        <v>41</v>
      </c>
      <c r="C267" s="879" t="s">
        <v>309</v>
      </c>
      <c r="D267" s="884" t="s">
        <v>44</v>
      </c>
      <c r="E267" s="11" t="s">
        <v>205</v>
      </c>
      <c r="F267" s="64"/>
      <c r="G267" s="11" t="str">
        <f>$G$9</f>
        <v>Land use, Land-Use Change and Forestry (LULUCF)</v>
      </c>
      <c r="H267" s="64"/>
      <c r="I267" s="12"/>
      <c r="J267" s="12"/>
      <c r="K267" s="12"/>
      <c r="L267" s="12"/>
      <c r="M267" s="12"/>
      <c r="N267" s="12"/>
      <c r="O267" s="12"/>
      <c r="P267" s="12"/>
      <c r="Q267" s="12"/>
      <c r="R267" s="12"/>
      <c r="S267" s="12"/>
      <c r="T267" s="12"/>
      <c r="U267" s="12"/>
      <c r="V267" s="12"/>
      <c r="W267" s="12"/>
      <c r="X267" s="704">
        <v>6649.0651614084263</v>
      </c>
      <c r="Y267" s="11">
        <v>6701.8993151518289</v>
      </c>
      <c r="Z267" s="11">
        <v>6608.2128435144768</v>
      </c>
      <c r="AA267" s="11">
        <v>6653.3721634659805</v>
      </c>
      <c r="AB267" s="11">
        <v>6614.9226945770424</v>
      </c>
      <c r="AC267" s="11">
        <v>6555.7447263429913</v>
      </c>
      <c r="AD267" s="11">
        <v>6499.865492560536</v>
      </c>
      <c r="AE267" s="11">
        <v>6472.5162741129907</v>
      </c>
      <c r="AF267" s="11">
        <v>6438.3935936842572</v>
      </c>
      <c r="AG267" s="11">
        <v>6399.3362065429774</v>
      </c>
      <c r="AH267" s="11">
        <v>6357.2629262272067</v>
      </c>
      <c r="AI267" s="11">
        <v>6304.5506896083052</v>
      </c>
      <c r="AJ267" s="11">
        <v>6242.2890424563357</v>
      </c>
      <c r="AK267" s="11">
        <v>6185.5200768579052</v>
      </c>
      <c r="AL267" s="11">
        <v>6163.9282828910355</v>
      </c>
      <c r="AM267" s="11">
        <v>6154.28878926166</v>
      </c>
      <c r="AN267" s="11">
        <v>6134.8460844575247</v>
      </c>
      <c r="AO267" s="11">
        <v>6130.5054274400427</v>
      </c>
      <c r="AP267" s="11">
        <v>6162.5485425178977</v>
      </c>
      <c r="AQ267" s="11">
        <v>6215.9163201146666</v>
      </c>
      <c r="AR267" s="11">
        <v>6080.3410384327608</v>
      </c>
      <c r="AS267" s="12"/>
      <c r="AT267" s="12"/>
      <c r="AU267" s="12"/>
      <c r="AV267" s="12"/>
      <c r="AW267" s="689"/>
      <c r="AX267" s="12"/>
      <c r="AY267" s="12"/>
      <c r="AZ267" s="12"/>
      <c r="BA267" s="12"/>
      <c r="BB267" s="791"/>
      <c r="BC267" s="12"/>
      <c r="BD267" s="12"/>
      <c r="BE267" s="12"/>
      <c r="BF267" s="12"/>
      <c r="BG267" s="12"/>
      <c r="BH267" s="12"/>
      <c r="BI267" s="12"/>
      <c r="BJ267" s="12"/>
      <c r="BK267" s="12"/>
      <c r="BL267" s="12"/>
      <c r="BM267" s="12"/>
      <c r="BN267" s="12"/>
      <c r="BO267" s="12"/>
      <c r="BP267" s="12"/>
      <c r="BQ267" s="12"/>
      <c r="BR267" s="12"/>
      <c r="BS267" s="12"/>
      <c r="BT267" s="12"/>
      <c r="BU267" s="12"/>
      <c r="BV267" s="12"/>
    </row>
    <row r="268" spans="1:88" s="50" customFormat="1" ht="18" customHeight="1" x14ac:dyDescent="0.4">
      <c r="A268" s="856"/>
      <c r="B268" s="842" t="s">
        <v>43</v>
      </c>
      <c r="C268" s="879" t="s">
        <v>310</v>
      </c>
      <c r="D268" s="884" t="s">
        <v>44</v>
      </c>
      <c r="E268" s="14" t="s">
        <v>182</v>
      </c>
      <c r="F268" s="1032"/>
      <c r="G268" s="14"/>
      <c r="H268" s="1032"/>
      <c r="I268" s="12"/>
      <c r="J268" s="12"/>
      <c r="K268" s="12"/>
      <c r="L268" s="12"/>
      <c r="M268" s="12"/>
      <c r="N268" s="12"/>
      <c r="O268" s="12"/>
      <c r="P268" s="12"/>
      <c r="Q268" s="12"/>
      <c r="R268" s="12"/>
      <c r="S268" s="12"/>
      <c r="T268" s="12"/>
      <c r="U268" s="12"/>
      <c r="V268" s="12"/>
      <c r="W268" s="12"/>
      <c r="X268" s="691">
        <f>SUM(X264:X267)</f>
        <v>10756.551817797284</v>
      </c>
      <c r="Y268" s="14">
        <f t="shared" ref="Y268:AP268" si="95">SUM(Y264:Y267)</f>
        <v>11367.523627979532</v>
      </c>
      <c r="Z268" s="14">
        <f t="shared" si="95"/>
        <v>11581.148941089035</v>
      </c>
      <c r="AA268" s="14">
        <f t="shared" si="95"/>
        <v>12008.008397489019</v>
      </c>
      <c r="AB268" s="14">
        <f t="shared" si="95"/>
        <v>11663.863463364694</v>
      </c>
      <c r="AC268" s="14">
        <f t="shared" si="95"/>
        <v>11507.933760432828</v>
      </c>
      <c r="AD268" s="14">
        <f t="shared" si="95"/>
        <v>11238.929331848105</v>
      </c>
      <c r="AE268" s="14">
        <f t="shared" si="95"/>
        <v>11205.75828828679</v>
      </c>
      <c r="AF268" s="14">
        <f t="shared" si="95"/>
        <v>11175.091306213628</v>
      </c>
      <c r="AG268" s="14">
        <f t="shared" si="95"/>
        <v>11157.280606792145</v>
      </c>
      <c r="AH268" s="14">
        <f t="shared" si="95"/>
        <v>11185.406574133754</v>
      </c>
      <c r="AI268" s="14">
        <f t="shared" si="95"/>
        <v>11090.380645858337</v>
      </c>
      <c r="AJ268" s="14">
        <f t="shared" si="95"/>
        <v>11110.787782013342</v>
      </c>
      <c r="AK268" s="14">
        <f t="shared" si="95"/>
        <v>11116.873424084839</v>
      </c>
      <c r="AL268" s="14">
        <f t="shared" si="95"/>
        <v>10954.672671347875</v>
      </c>
      <c r="AM268" s="14">
        <f t="shared" si="95"/>
        <v>10739.599366683446</v>
      </c>
      <c r="AN268" s="14">
        <f t="shared" si="95"/>
        <v>10859.037488554524</v>
      </c>
      <c r="AO268" s="14">
        <f t="shared" si="95"/>
        <v>10914.365671051371</v>
      </c>
      <c r="AP268" s="14">
        <f t="shared" si="95"/>
        <v>10812.790256718377</v>
      </c>
      <c r="AQ268" s="14">
        <f t="shared" ref="AQ268:AR268" si="96">SUM(AQ264:AQ267)</f>
        <v>10998.010804706548</v>
      </c>
      <c r="AR268" s="14">
        <f t="shared" si="96"/>
        <v>10569.755965240265</v>
      </c>
      <c r="AS268" s="12"/>
      <c r="AT268" s="12"/>
      <c r="AU268" s="12"/>
      <c r="AV268" s="12"/>
      <c r="AW268" s="689"/>
      <c r="AX268" s="12"/>
      <c r="AY268" s="12"/>
      <c r="AZ268" s="12"/>
      <c r="BA268" s="12"/>
      <c r="BB268" s="791"/>
      <c r="BC268" s="12"/>
      <c r="BD268" s="12"/>
      <c r="BE268" s="12"/>
      <c r="BF268" s="12"/>
      <c r="BG268" s="12"/>
      <c r="BH268" s="12"/>
      <c r="BI268" s="12"/>
      <c r="BJ268" s="12"/>
      <c r="BK268" s="12"/>
      <c r="BL268" s="12"/>
      <c r="BM268" s="12"/>
      <c r="BN268" s="12"/>
      <c r="BO268" s="12"/>
      <c r="BP268" s="12"/>
      <c r="BQ268" s="12"/>
      <c r="BR268" s="12"/>
      <c r="BS268" s="12"/>
      <c r="BT268" s="12"/>
      <c r="BU268" s="12"/>
      <c r="BV268" s="12"/>
    </row>
    <row r="269" spans="1:88" s="50" customFormat="1" ht="18" customHeight="1" x14ac:dyDescent="0.4">
      <c r="A269" s="856"/>
      <c r="B269" s="842" t="s">
        <v>45</v>
      </c>
      <c r="C269" s="879" t="s">
        <v>315</v>
      </c>
      <c r="D269" s="884" t="s">
        <v>44</v>
      </c>
      <c r="E269" s="14" t="s">
        <v>183</v>
      </c>
      <c r="F269" s="1032"/>
      <c r="G269" s="14"/>
      <c r="H269" s="1032"/>
      <c r="I269" s="12"/>
      <c r="J269" s="12"/>
      <c r="K269" s="12"/>
      <c r="L269" s="12"/>
      <c r="M269" s="12"/>
      <c r="N269" s="12"/>
      <c r="O269" s="12"/>
      <c r="P269" s="12"/>
      <c r="Q269" s="12"/>
      <c r="R269" s="12"/>
      <c r="S269" s="12"/>
      <c r="T269" s="12"/>
      <c r="U269" s="12"/>
      <c r="V269" s="12"/>
      <c r="W269" s="12"/>
      <c r="X269" s="691">
        <v>4107.4866563888572</v>
      </c>
      <c r="Y269" s="14">
        <v>4665.6243128277019</v>
      </c>
      <c r="Z269" s="14">
        <v>4972.9360975745585</v>
      </c>
      <c r="AA269" s="14">
        <v>5354.6362340230389</v>
      </c>
      <c r="AB269" s="14">
        <v>5048.9407687876519</v>
      </c>
      <c r="AC269" s="14">
        <v>4952.1890340898362</v>
      </c>
      <c r="AD269" s="14">
        <v>4739.063839287569</v>
      </c>
      <c r="AE269" s="14">
        <v>4733.2420141737985</v>
      </c>
      <c r="AF269" s="14">
        <v>4736.6977125293706</v>
      </c>
      <c r="AG269" s="14">
        <v>4757.9444002491682</v>
      </c>
      <c r="AH269" s="14">
        <v>4828.1436479065469</v>
      </c>
      <c r="AI269" s="14">
        <v>4785.8299562500315</v>
      </c>
      <c r="AJ269" s="14">
        <v>4868.498739557006</v>
      </c>
      <c r="AK269" s="14">
        <v>4931.3533472269328</v>
      </c>
      <c r="AL269" s="14">
        <v>4790.7443884568402</v>
      </c>
      <c r="AM269" s="14">
        <v>4585.3105774217856</v>
      </c>
      <c r="AN269" s="14">
        <v>4724.1914040969996</v>
      </c>
      <c r="AO269" s="14">
        <v>4783.8602436113288</v>
      </c>
      <c r="AP269" s="14">
        <v>4650.2417142004797</v>
      </c>
      <c r="AQ269" s="14">
        <v>4782.0944845918812</v>
      </c>
      <c r="AR269" s="14">
        <v>4489.4149268075043</v>
      </c>
      <c r="AS269" s="12"/>
      <c r="AT269" s="12"/>
      <c r="AU269" s="12"/>
      <c r="AV269" s="12"/>
      <c r="AW269" s="689"/>
      <c r="AX269" s="12"/>
      <c r="AY269" s="12"/>
      <c r="AZ269" s="12"/>
      <c r="BA269" s="12"/>
      <c r="BB269" s="791"/>
      <c r="BC269" s="12"/>
      <c r="BD269" s="12"/>
      <c r="BE269" s="12"/>
      <c r="BF269" s="12"/>
      <c r="BG269" s="12"/>
      <c r="BH269" s="12"/>
      <c r="BI269" s="12"/>
      <c r="BJ269" s="12"/>
      <c r="BK269" s="12"/>
      <c r="BL269" s="12"/>
      <c r="BM269" s="12"/>
      <c r="BN269" s="12"/>
      <c r="BO269" s="12"/>
      <c r="BP269" s="12"/>
      <c r="BQ269" s="12"/>
      <c r="BR269" s="12"/>
      <c r="BS269" s="12"/>
      <c r="BT269" s="12"/>
      <c r="BU269" s="12"/>
      <c r="BV269" s="12"/>
    </row>
    <row r="270" spans="1:88" ht="18" customHeight="1" x14ac:dyDescent="0.4">
      <c r="B270" s="843"/>
      <c r="C270" s="869"/>
      <c r="D270" s="891"/>
      <c r="E270" s="35"/>
      <c r="F270" s="90"/>
      <c r="G270" s="35"/>
      <c r="H270" s="90"/>
      <c r="I270" s="35"/>
      <c r="J270" s="35"/>
      <c r="K270" s="35"/>
      <c r="L270" s="35"/>
      <c r="M270" s="35"/>
      <c r="N270" s="35"/>
      <c r="O270" s="35"/>
      <c r="P270" s="35"/>
      <c r="Q270" s="35"/>
      <c r="R270" s="35"/>
      <c r="S270" s="35"/>
      <c r="T270" s="35"/>
      <c r="U270" s="35"/>
      <c r="V270" s="35"/>
      <c r="W270" s="35"/>
      <c r="X270" s="790"/>
      <c r="Y270" s="51"/>
      <c r="Z270" s="51"/>
      <c r="AA270" s="51"/>
      <c r="AB270" s="51"/>
      <c r="AC270" s="51"/>
      <c r="AD270" s="51"/>
      <c r="AE270" s="51"/>
      <c r="AF270" s="51"/>
      <c r="AG270" s="51"/>
      <c r="AH270" s="51"/>
      <c r="AI270" s="51"/>
      <c r="AJ270" s="51"/>
      <c r="AK270" s="51"/>
      <c r="AL270" s="51"/>
      <c r="AM270" s="51"/>
      <c r="AN270" s="51"/>
      <c r="AO270" s="51"/>
      <c r="AP270" s="51"/>
      <c r="AQ270" s="51"/>
      <c r="AR270" s="66"/>
      <c r="AS270" s="65"/>
      <c r="AT270" s="65"/>
      <c r="AU270" s="65"/>
      <c r="AV270" s="65"/>
      <c r="AW270" s="693"/>
      <c r="AX270" s="65"/>
      <c r="AY270" s="65"/>
      <c r="AZ270" s="65"/>
      <c r="BA270" s="65"/>
      <c r="BB270" s="795"/>
      <c r="BC270" s="65"/>
      <c r="BD270" s="65"/>
      <c r="BE270" s="65"/>
      <c r="BF270" s="65"/>
      <c r="BG270" s="65"/>
      <c r="BH270" s="65"/>
      <c r="BI270" s="65"/>
      <c r="BJ270" s="65"/>
      <c r="BK270" s="65"/>
      <c r="BL270" s="65"/>
      <c r="BM270" s="65"/>
      <c r="BN270" s="65"/>
      <c r="BO270" s="65"/>
      <c r="BP270" s="65"/>
      <c r="BQ270" s="65"/>
      <c r="BR270" s="65"/>
      <c r="BS270" s="65"/>
      <c r="BT270" s="65"/>
      <c r="BU270" s="65"/>
      <c r="BV270" s="65"/>
      <c r="BW270" s="50"/>
      <c r="BX270" s="50"/>
      <c r="BY270" s="50"/>
      <c r="BZ270" s="50"/>
      <c r="CA270" s="50"/>
      <c r="CB270" s="50"/>
    </row>
    <row r="271" spans="1:88" s="50" customFormat="1" x14ac:dyDescent="0.4">
      <c r="A271" s="856"/>
      <c r="B271" s="841"/>
      <c r="C271" s="878"/>
      <c r="D271" s="884"/>
      <c r="E271" s="619" t="str">
        <f>$E$14</f>
        <v>Losunarspá: Sviðsmynd byggð á aðgerðum stjórnvalda</v>
      </c>
      <c r="F271" s="625"/>
      <c r="G271" s="619" t="str">
        <f>$G$14</f>
        <v>Emission Projections: Government Policy-Based Scenario</v>
      </c>
      <c r="H271" s="625"/>
      <c r="I271" s="53"/>
      <c r="J271" s="53"/>
      <c r="K271" s="53"/>
      <c r="L271" s="53"/>
      <c r="M271" s="53"/>
      <c r="N271" s="53"/>
      <c r="O271" s="53"/>
      <c r="P271" s="53"/>
      <c r="Q271" s="53"/>
      <c r="R271" s="53"/>
      <c r="S271" s="53"/>
      <c r="T271" s="53"/>
      <c r="U271" s="53"/>
      <c r="V271" s="53"/>
      <c r="W271" s="53"/>
      <c r="X271" s="692"/>
      <c r="Y271" s="61"/>
      <c r="Z271" s="61"/>
      <c r="AA271" s="61"/>
      <c r="AB271" s="61"/>
      <c r="AC271" s="61"/>
      <c r="AD271" s="61"/>
      <c r="AE271" s="61"/>
      <c r="AF271" s="61"/>
      <c r="AG271" s="61"/>
      <c r="AH271" s="61"/>
      <c r="AI271" s="61"/>
      <c r="AJ271" s="61"/>
      <c r="AK271" s="61"/>
      <c r="AL271" s="61"/>
      <c r="AM271" s="61"/>
      <c r="AN271" s="61"/>
      <c r="AO271" s="61"/>
      <c r="AP271" s="61"/>
      <c r="AQ271" s="61"/>
      <c r="AR271" s="62"/>
      <c r="AS271" s="62"/>
      <c r="AT271" s="63"/>
      <c r="AU271" s="63"/>
      <c r="AV271" s="63"/>
      <c r="AW271" s="692"/>
      <c r="AX271" s="63"/>
      <c r="AY271" s="63"/>
      <c r="AZ271" s="63"/>
      <c r="BA271" s="63"/>
      <c r="BB271" s="621"/>
      <c r="BC271" s="63"/>
      <c r="BD271" s="63"/>
      <c r="BE271" s="63"/>
      <c r="BF271" s="63"/>
      <c r="BG271" s="63"/>
      <c r="BH271" s="63"/>
      <c r="BI271" s="63"/>
      <c r="BJ271" s="63"/>
      <c r="BK271" s="63"/>
      <c r="BL271" s="63"/>
      <c r="BM271" s="63"/>
      <c r="BN271" s="63"/>
      <c r="BO271" s="63"/>
      <c r="BP271" s="63"/>
      <c r="BQ271" s="63"/>
      <c r="BR271" s="63"/>
      <c r="BS271" s="63"/>
      <c r="BT271" s="63"/>
      <c r="BU271" s="63"/>
      <c r="BV271" s="63"/>
    </row>
    <row r="272" spans="1:88" s="50" customFormat="1" ht="18" customHeight="1" x14ac:dyDescent="0.4">
      <c r="A272" s="856"/>
      <c r="B272" s="843" t="s">
        <v>78</v>
      </c>
      <c r="C272" s="876" t="s">
        <v>311</v>
      </c>
      <c r="D272" s="884" t="s">
        <v>44</v>
      </c>
      <c r="E272" s="64" t="s">
        <v>113</v>
      </c>
      <c r="F272" s="1031"/>
      <c r="G272" s="64" t="s">
        <v>220</v>
      </c>
      <c r="H272" s="1031"/>
      <c r="I272" s="12"/>
      <c r="J272" s="12"/>
      <c r="K272" s="12"/>
      <c r="L272" s="12"/>
      <c r="M272" s="12"/>
      <c r="N272" s="12"/>
      <c r="O272" s="12"/>
      <c r="P272" s="12"/>
      <c r="Q272" s="12"/>
      <c r="R272" s="12"/>
      <c r="S272" s="12"/>
      <c r="T272" s="12"/>
      <c r="U272" s="12"/>
      <c r="V272" s="12"/>
      <c r="W272" s="12"/>
      <c r="X272" s="791"/>
      <c r="Y272" s="12"/>
      <c r="Z272" s="12"/>
      <c r="AA272" s="12"/>
      <c r="AB272" s="12"/>
      <c r="AC272" s="12"/>
      <c r="AD272" s="12"/>
      <c r="AE272" s="12"/>
      <c r="AF272" s="12"/>
      <c r="AG272" s="12"/>
      <c r="AH272" s="12"/>
      <c r="AI272" s="12"/>
      <c r="AJ272" s="12"/>
      <c r="AK272" s="12"/>
      <c r="AL272" s="12"/>
      <c r="AM272" s="12"/>
      <c r="AN272" s="12"/>
      <c r="AO272" s="12"/>
      <c r="AP272" s="783"/>
      <c r="AQ272" s="783"/>
      <c r="AR272" s="168">
        <f t="shared" ref="AR272:AR277" si="97">AR264</f>
        <v>1676.5843667418656</v>
      </c>
      <c r="AS272" s="11">
        <v>1631.9466973270371</v>
      </c>
      <c r="AT272" s="11">
        <v>1904.0298158776088</v>
      </c>
      <c r="AU272" s="11">
        <v>1914.475235429524</v>
      </c>
      <c r="AV272" s="11">
        <v>1913.4440183740917</v>
      </c>
      <c r="AW272" s="704">
        <v>1913.7156316752432</v>
      </c>
      <c r="AX272" s="11">
        <v>1913.8246614724362</v>
      </c>
      <c r="AY272" s="11">
        <v>1914.808175695794</v>
      </c>
      <c r="AZ272" s="11">
        <v>1914.0234314843071</v>
      </c>
      <c r="BA272" s="11">
        <v>1914.1184826799511</v>
      </c>
      <c r="BB272" s="704">
        <v>1914.0238140019958</v>
      </c>
      <c r="BC272" s="11">
        <v>1919.071691509678</v>
      </c>
      <c r="BD272" s="11">
        <v>1918.0694043905851</v>
      </c>
      <c r="BE272" s="11">
        <v>1917.9468260939689</v>
      </c>
      <c r="BF272" s="11">
        <v>1917.8203330733886</v>
      </c>
      <c r="BG272" s="11">
        <v>1918.5759976232921</v>
      </c>
      <c r="BH272" s="11">
        <v>1917.5487540064582</v>
      </c>
      <c r="BI272" s="11">
        <v>1917.4028046302799</v>
      </c>
      <c r="BJ272" s="11">
        <v>1917.2447157370846</v>
      </c>
      <c r="BK272" s="11">
        <v>1917.9715541359842</v>
      </c>
      <c r="BL272" s="11">
        <v>1916.8992027431334</v>
      </c>
      <c r="BM272" s="11">
        <v>1916.7127222142813</v>
      </c>
      <c r="BN272" s="11">
        <v>1916.5090728191381</v>
      </c>
      <c r="BO272" s="11">
        <v>1917.1885923459397</v>
      </c>
      <c r="BP272" s="11">
        <v>1916.0689401875134</v>
      </c>
      <c r="BQ272" s="11">
        <v>1915.8275529730324</v>
      </c>
      <c r="BR272" s="11">
        <v>1915.5774296325615</v>
      </c>
      <c r="BS272" s="11">
        <v>1916.2103737461462</v>
      </c>
      <c r="BT272" s="11">
        <v>1915.0441505529009</v>
      </c>
      <c r="BU272" s="11">
        <v>1914.7576211454825</v>
      </c>
      <c r="BV272" s="11">
        <v>1914.46150384923</v>
      </c>
    </row>
    <row r="273" spans="1:80" s="50" customFormat="1" ht="18" customHeight="1" x14ac:dyDescent="0.4">
      <c r="A273" s="856"/>
      <c r="B273" s="839" t="s">
        <v>79</v>
      </c>
      <c r="C273" s="876" t="s">
        <v>312</v>
      </c>
      <c r="D273" s="884" t="s">
        <v>44</v>
      </c>
      <c r="E273" s="64" t="s">
        <v>210</v>
      </c>
      <c r="F273" s="64" t="s">
        <v>401</v>
      </c>
      <c r="G273" s="64" t="s">
        <v>109</v>
      </c>
      <c r="H273" s="64" t="s">
        <v>400</v>
      </c>
      <c r="I273" s="12"/>
      <c r="J273" s="12"/>
      <c r="K273" s="12"/>
      <c r="L273" s="12"/>
      <c r="M273" s="12"/>
      <c r="N273" s="12"/>
      <c r="O273" s="12"/>
      <c r="P273" s="12"/>
      <c r="Q273" s="12"/>
      <c r="R273" s="12"/>
      <c r="S273" s="12"/>
      <c r="T273" s="12"/>
      <c r="U273" s="12"/>
      <c r="V273" s="12"/>
      <c r="W273" s="12"/>
      <c r="X273" s="791"/>
      <c r="Y273" s="12"/>
      <c r="Z273" s="12"/>
      <c r="AA273" s="12"/>
      <c r="AB273" s="12"/>
      <c r="AC273" s="12"/>
      <c r="AD273" s="12"/>
      <c r="AE273" s="12"/>
      <c r="AF273" s="12"/>
      <c r="AG273" s="12"/>
      <c r="AH273" s="12"/>
      <c r="AI273" s="12"/>
      <c r="AJ273" s="12"/>
      <c r="AK273" s="12"/>
      <c r="AL273" s="12"/>
      <c r="AM273" s="12"/>
      <c r="AN273" s="12"/>
      <c r="AO273" s="12"/>
      <c r="AP273" s="783"/>
      <c r="AQ273" s="783"/>
      <c r="AR273" s="168">
        <f t="shared" si="97"/>
        <v>19.074136583333335</v>
      </c>
      <c r="AS273" s="11">
        <v>20.254789492835862</v>
      </c>
      <c r="AT273" s="11">
        <v>19.963203011495189</v>
      </c>
      <c r="AU273" s="11">
        <v>20.09297970096625</v>
      </c>
      <c r="AV273" s="11">
        <v>20.1694332743009</v>
      </c>
      <c r="AW273" s="704">
        <v>19.398383708124587</v>
      </c>
      <c r="AX273" s="11">
        <v>19.345242737231587</v>
      </c>
      <c r="AY273" s="11">
        <v>19.193561270016357</v>
      </c>
      <c r="AZ273" s="11">
        <v>18.902526259014017</v>
      </c>
      <c r="BA273" s="11">
        <v>18.448435464703476</v>
      </c>
      <c r="BB273" s="704">
        <v>15.205974642658264</v>
      </c>
      <c r="BC273" s="11">
        <v>14.397357950610406</v>
      </c>
      <c r="BD273" s="11">
        <v>13.332285953195816</v>
      </c>
      <c r="BE273" s="11">
        <v>12.016214758161365</v>
      </c>
      <c r="BF273" s="11">
        <v>10.483376567210541</v>
      </c>
      <c r="BG273" s="11">
        <v>7.3334961652172055</v>
      </c>
      <c r="BH273" s="11">
        <v>5.9520131804942187</v>
      </c>
      <c r="BI273" s="11">
        <v>4.6637966735810394</v>
      </c>
      <c r="BJ273" s="11">
        <v>3.5354580972209151</v>
      </c>
      <c r="BK273" s="11">
        <v>2.6096049419243865</v>
      </c>
      <c r="BL273" s="11">
        <v>1.6661403839792579</v>
      </c>
      <c r="BM273" s="11">
        <v>1.184463255110372</v>
      </c>
      <c r="BN273" s="11">
        <v>0.82900545637554335</v>
      </c>
      <c r="BO273" s="11">
        <v>0.57679868715447113</v>
      </c>
      <c r="BP273" s="11">
        <v>0.39450489002492761</v>
      </c>
      <c r="BQ273" s="11">
        <v>0.14815680966218209</v>
      </c>
      <c r="BR273" s="11">
        <v>9.8854357043182461E-2</v>
      </c>
      <c r="BS273" s="11">
        <v>7.0855147691696443E-2</v>
      </c>
      <c r="BT273" s="11">
        <v>4.4362209354273367E-2</v>
      </c>
      <c r="BU273" s="11">
        <v>3.3558160744483936E-2</v>
      </c>
      <c r="BV273" s="11">
        <v>1.9641073836783873E-2</v>
      </c>
    </row>
    <row r="274" spans="1:80" s="50" customFormat="1" ht="18" customHeight="1" x14ac:dyDescent="0.4">
      <c r="A274" s="856"/>
      <c r="B274" s="839" t="s">
        <v>98</v>
      </c>
      <c r="C274" s="876" t="s">
        <v>303</v>
      </c>
      <c r="D274" s="884" t="s">
        <v>44</v>
      </c>
      <c r="E274" s="64" t="s">
        <v>114</v>
      </c>
      <c r="F274" s="1031"/>
      <c r="G274" s="11" t="s">
        <v>115</v>
      </c>
      <c r="H274" s="1031"/>
      <c r="I274" s="12"/>
      <c r="J274" s="12"/>
      <c r="K274" s="12"/>
      <c r="L274" s="12"/>
      <c r="M274" s="12"/>
      <c r="N274" s="12"/>
      <c r="O274" s="12"/>
      <c r="P274" s="12"/>
      <c r="Q274" s="12"/>
      <c r="R274" s="12"/>
      <c r="S274" s="12"/>
      <c r="T274" s="12"/>
      <c r="U274" s="12"/>
      <c r="V274" s="12"/>
      <c r="W274" s="12"/>
      <c r="X274" s="791"/>
      <c r="Y274" s="12"/>
      <c r="Z274" s="12"/>
      <c r="AA274" s="12"/>
      <c r="AB274" s="12"/>
      <c r="AC274" s="12"/>
      <c r="AD274" s="12"/>
      <c r="AE274" s="12"/>
      <c r="AF274" s="12"/>
      <c r="AG274" s="12"/>
      <c r="AH274" s="12"/>
      <c r="AI274" s="12"/>
      <c r="AJ274" s="12"/>
      <c r="AK274" s="12"/>
      <c r="AL274" s="12"/>
      <c r="AM274" s="12"/>
      <c r="AN274" s="12"/>
      <c r="AO274" s="12"/>
      <c r="AP274" s="783"/>
      <c r="AQ274" s="783"/>
      <c r="AR274" s="168">
        <f t="shared" si="97"/>
        <v>2793.7564234823058</v>
      </c>
      <c r="AS274" s="11">
        <v>2717.754800898455</v>
      </c>
      <c r="AT274" s="11">
        <v>2675.4195238488419</v>
      </c>
      <c r="AU274" s="11">
        <v>2593.9256265876784</v>
      </c>
      <c r="AV274" s="11">
        <v>2524.8645991818403</v>
      </c>
      <c r="AW274" s="704">
        <v>2461.6474343896625</v>
      </c>
      <c r="AX274" s="11">
        <v>2389.4610829124813</v>
      </c>
      <c r="AY274" s="11">
        <v>2339.5495680237423</v>
      </c>
      <c r="AZ274" s="11">
        <v>2302.1487866382095</v>
      </c>
      <c r="BA274" s="11">
        <v>2239.7611648055517</v>
      </c>
      <c r="BB274" s="704">
        <v>2175.5604432654491</v>
      </c>
      <c r="BC274" s="11">
        <v>2120.3234091572922</v>
      </c>
      <c r="BD274" s="11">
        <v>2064.0367345203399</v>
      </c>
      <c r="BE274" s="11">
        <v>2007.543696473108</v>
      </c>
      <c r="BF274" s="11">
        <v>1950.1673090898139</v>
      </c>
      <c r="BG274" s="11">
        <v>1893.062453952246</v>
      </c>
      <c r="BH274" s="11">
        <v>1837.9263639192718</v>
      </c>
      <c r="BI274" s="11">
        <v>1782.364444359868</v>
      </c>
      <c r="BJ274" s="11">
        <v>1727.8809394476293</v>
      </c>
      <c r="BK274" s="11">
        <v>1674.0396975303806</v>
      </c>
      <c r="BL274" s="11">
        <v>1620.830631038461</v>
      </c>
      <c r="BM274" s="11">
        <v>1568.1956644047598</v>
      </c>
      <c r="BN274" s="11">
        <v>1514.341085942641</v>
      </c>
      <c r="BO274" s="11">
        <v>1459.1888171651963</v>
      </c>
      <c r="BP274" s="11">
        <v>1402.830302752026</v>
      </c>
      <c r="BQ274" s="11">
        <v>1345.7872216884944</v>
      </c>
      <c r="BR274" s="11">
        <v>1284.5477861813142</v>
      </c>
      <c r="BS274" s="11">
        <v>1241.8162390906516</v>
      </c>
      <c r="BT274" s="11">
        <v>1204.0487116357044</v>
      </c>
      <c r="BU274" s="11">
        <v>1172.1078636851437</v>
      </c>
      <c r="BV274" s="11">
        <v>1146.4682566247563</v>
      </c>
      <c r="BW274" s="171"/>
    </row>
    <row r="275" spans="1:80" s="50" customFormat="1" ht="18" customHeight="1" x14ac:dyDescent="0.4">
      <c r="A275" s="856"/>
      <c r="B275" s="843" t="s">
        <v>41</v>
      </c>
      <c r="C275" s="876" t="s">
        <v>313</v>
      </c>
      <c r="D275" s="884" t="s">
        <v>44</v>
      </c>
      <c r="E275" s="11" t="s">
        <v>205</v>
      </c>
      <c r="F275" s="64"/>
      <c r="G275" s="11" t="str">
        <f>$G$9</f>
        <v>Land use, Land-Use Change and Forestry (LULUCF)</v>
      </c>
      <c r="H275" s="64"/>
      <c r="I275" s="12"/>
      <c r="J275" s="12"/>
      <c r="K275" s="12"/>
      <c r="L275" s="12"/>
      <c r="M275" s="12"/>
      <c r="N275" s="12"/>
      <c r="O275" s="12"/>
      <c r="P275" s="12"/>
      <c r="Q275" s="12"/>
      <c r="R275" s="12"/>
      <c r="S275" s="12"/>
      <c r="T275" s="12"/>
      <c r="U275" s="12"/>
      <c r="V275" s="12"/>
      <c r="W275" s="12"/>
      <c r="X275" s="791"/>
      <c r="Y275" s="12"/>
      <c r="Z275" s="12"/>
      <c r="AA275" s="12"/>
      <c r="AB275" s="12"/>
      <c r="AC275" s="12"/>
      <c r="AD275" s="12"/>
      <c r="AE275" s="12"/>
      <c r="AF275" s="12"/>
      <c r="AG275" s="12"/>
      <c r="AH275" s="12"/>
      <c r="AI275" s="12"/>
      <c r="AJ275" s="12"/>
      <c r="AK275" s="12"/>
      <c r="AL275" s="12"/>
      <c r="AM275" s="12"/>
      <c r="AN275" s="12"/>
      <c r="AO275" s="12"/>
      <c r="AP275" s="783"/>
      <c r="AQ275" s="783"/>
      <c r="AR275" s="168">
        <f t="shared" si="97"/>
        <v>6080.3410384327608</v>
      </c>
      <c r="AS275" s="23">
        <v>5971.4274562492774</v>
      </c>
      <c r="AT275" s="23">
        <v>5853.210682733772</v>
      </c>
      <c r="AU275" s="23">
        <v>5739.2983895927191</v>
      </c>
      <c r="AV275" s="23">
        <v>5629.8269681428146</v>
      </c>
      <c r="AW275" s="703">
        <v>5519.3423262110891</v>
      </c>
      <c r="AX275" s="23">
        <v>5455.4870570361609</v>
      </c>
      <c r="AY275" s="23">
        <v>5393.2904917396399</v>
      </c>
      <c r="AZ275" s="23">
        <v>5328.4676053510111</v>
      </c>
      <c r="BA275" s="23">
        <v>5271.5727773244034</v>
      </c>
      <c r="BB275" s="703">
        <v>5225.8620177609118</v>
      </c>
      <c r="BC275" s="23">
        <v>5175.4442546329956</v>
      </c>
      <c r="BD275" s="23">
        <v>5159.170006150026</v>
      </c>
      <c r="BE275" s="23">
        <v>5110.1961530579738</v>
      </c>
      <c r="BF275" s="23">
        <v>5058.4042521622086</v>
      </c>
      <c r="BG275" s="23">
        <v>5008.0700990507912</v>
      </c>
      <c r="BH275" s="23">
        <v>4946.8431438735988</v>
      </c>
      <c r="BI275" s="23">
        <v>4872.9937834490493</v>
      </c>
      <c r="BJ275" s="23">
        <v>4802.006859906337</v>
      </c>
      <c r="BK275" s="23">
        <v>4722.4123337830033</v>
      </c>
      <c r="BL275" s="23">
        <v>4650.2229004345827</v>
      </c>
      <c r="BM275" s="23">
        <v>4564.8340324253977</v>
      </c>
      <c r="BN275" s="23">
        <v>4480.0487375006414</v>
      </c>
      <c r="BO275" s="23">
        <v>4399.5154548936544</v>
      </c>
      <c r="BP275" s="23">
        <v>4317.597985213597</v>
      </c>
      <c r="BQ275" s="23">
        <v>4228.651507077424</v>
      </c>
      <c r="BR275" s="23">
        <v>4135.6514579384448</v>
      </c>
      <c r="BS275" s="23">
        <v>4050.7876785320909</v>
      </c>
      <c r="BT275" s="23">
        <v>3960.3143154877635</v>
      </c>
      <c r="BU275" s="23">
        <v>3869.3162309244071</v>
      </c>
      <c r="BV275" s="23">
        <v>3784.3948741814406</v>
      </c>
    </row>
    <row r="276" spans="1:80" s="50" customFormat="1" ht="18" customHeight="1" x14ac:dyDescent="0.4">
      <c r="A276" s="856"/>
      <c r="B276" s="833" t="s">
        <v>43</v>
      </c>
      <c r="C276" s="876" t="s">
        <v>314</v>
      </c>
      <c r="D276" s="884" t="s">
        <v>44</v>
      </c>
      <c r="E276" s="14" t="s">
        <v>182</v>
      </c>
      <c r="F276" s="1032"/>
      <c r="G276" s="14"/>
      <c r="H276" s="1032"/>
      <c r="I276" s="12"/>
      <c r="J276" s="12"/>
      <c r="K276" s="12"/>
      <c r="L276" s="12"/>
      <c r="M276" s="12"/>
      <c r="N276" s="12"/>
      <c r="O276" s="12"/>
      <c r="P276" s="12"/>
      <c r="Q276" s="12"/>
      <c r="R276" s="12"/>
      <c r="S276" s="12"/>
      <c r="T276" s="12"/>
      <c r="U276" s="12"/>
      <c r="V276" s="12"/>
      <c r="W276" s="12"/>
      <c r="X276" s="791"/>
      <c r="Y276" s="12"/>
      <c r="Z276" s="12"/>
      <c r="AA276" s="12"/>
      <c r="AB276" s="12"/>
      <c r="AC276" s="12"/>
      <c r="AD276" s="12"/>
      <c r="AE276" s="12"/>
      <c r="AF276" s="12"/>
      <c r="AG276" s="12"/>
      <c r="AH276" s="12"/>
      <c r="AI276" s="12"/>
      <c r="AJ276" s="12"/>
      <c r="AK276" s="12"/>
      <c r="AL276" s="12"/>
      <c r="AM276" s="12"/>
      <c r="AN276" s="12"/>
      <c r="AO276" s="12"/>
      <c r="AP276" s="783"/>
      <c r="AQ276" s="783"/>
      <c r="AR276" s="168">
        <f t="shared" si="97"/>
        <v>10569.755965240265</v>
      </c>
      <c r="AS276" s="14">
        <v>10341.383743967606</v>
      </c>
      <c r="AT276" s="14">
        <v>10452.623225471718</v>
      </c>
      <c r="AU276" s="14">
        <v>10267.792231310888</v>
      </c>
      <c r="AV276" s="14">
        <v>10088.305018973047</v>
      </c>
      <c r="AW276" s="691">
        <v>9914.1037759841183</v>
      </c>
      <c r="AX276" s="14">
        <v>9778.1180441583092</v>
      </c>
      <c r="AY276" s="14">
        <v>9666.8417967291934</v>
      </c>
      <c r="AZ276" s="14">
        <v>9563.542349732541</v>
      </c>
      <c r="BA276" s="14">
        <v>9443.9008602746089</v>
      </c>
      <c r="BB276" s="691">
        <v>9330.6522496710149</v>
      </c>
      <c r="BC276" s="14">
        <v>9229.2367132505769</v>
      </c>
      <c r="BD276" s="14">
        <v>9154.6084310141468</v>
      </c>
      <c r="BE276" s="14">
        <v>9047.7028903832124</v>
      </c>
      <c r="BF276" s="14">
        <v>8936.8752708926222</v>
      </c>
      <c r="BG276" s="14">
        <v>8827.0420467915465</v>
      </c>
      <c r="BH276" s="14">
        <v>8708.2702749798227</v>
      </c>
      <c r="BI276" s="14">
        <v>8577.4248291127788</v>
      </c>
      <c r="BJ276" s="14">
        <v>8450.6679731882723</v>
      </c>
      <c r="BK276" s="14">
        <v>8317.033190391292</v>
      </c>
      <c r="BL276" s="14">
        <v>8189.6188746001562</v>
      </c>
      <c r="BM276" s="14">
        <v>8050.9268822995491</v>
      </c>
      <c r="BN276" s="14">
        <v>7911.7279017187966</v>
      </c>
      <c r="BO276" s="14">
        <v>7776.4696630919452</v>
      </c>
      <c r="BP276" s="14">
        <v>7636.8917330431614</v>
      </c>
      <c r="BQ276" s="14">
        <v>7490.4144385486125</v>
      </c>
      <c r="BR276" s="14">
        <v>7335.8755281093636</v>
      </c>
      <c r="BS276" s="14">
        <v>7208.8851465165799</v>
      </c>
      <c r="BT276" s="14">
        <v>7079.4515398857229</v>
      </c>
      <c r="BU276" s="14">
        <v>6956.2152739157773</v>
      </c>
      <c r="BV276" s="14">
        <v>6845.3442757292642</v>
      </c>
    </row>
    <row r="277" spans="1:80" s="50" customFormat="1" ht="18" customHeight="1" x14ac:dyDescent="0.4">
      <c r="A277" s="856"/>
      <c r="B277" s="839" t="s">
        <v>45</v>
      </c>
      <c r="C277" s="876" t="s">
        <v>316</v>
      </c>
      <c r="D277" s="884" t="s">
        <v>44</v>
      </c>
      <c r="E277" s="14" t="s">
        <v>183</v>
      </c>
      <c r="F277" s="1032"/>
      <c r="G277" s="14"/>
      <c r="H277" s="1032"/>
      <c r="I277" s="12"/>
      <c r="J277" s="12"/>
      <c r="K277" s="12"/>
      <c r="L277" s="12"/>
      <c r="M277" s="12"/>
      <c r="N277" s="12"/>
      <c r="O277" s="12"/>
      <c r="P277" s="12"/>
      <c r="Q277" s="12"/>
      <c r="R277" s="12"/>
      <c r="S277" s="12"/>
      <c r="T277" s="12"/>
      <c r="U277" s="12"/>
      <c r="V277" s="12"/>
      <c r="W277" s="12"/>
      <c r="X277" s="791"/>
      <c r="Y277" s="12"/>
      <c r="Z277" s="12"/>
      <c r="AA277" s="12"/>
      <c r="AB277" s="12"/>
      <c r="AC277" s="12"/>
      <c r="AD277" s="12"/>
      <c r="AE277" s="12"/>
      <c r="AF277" s="12"/>
      <c r="AG277" s="12"/>
      <c r="AH277" s="12"/>
      <c r="AI277" s="12"/>
      <c r="AJ277" s="12"/>
      <c r="AK277" s="12"/>
      <c r="AL277" s="12"/>
      <c r="AM277" s="12"/>
      <c r="AN277" s="12"/>
      <c r="AO277" s="12"/>
      <c r="AP277" s="783"/>
      <c r="AQ277" s="783"/>
      <c r="AR277" s="168">
        <f t="shared" si="97"/>
        <v>4489.4149268075043</v>
      </c>
      <c r="AS277" s="14">
        <v>4369.956287718328</v>
      </c>
      <c r="AT277" s="14">
        <v>4599.4125427379458</v>
      </c>
      <c r="AU277" s="14">
        <v>4528.4938417181684</v>
      </c>
      <c r="AV277" s="14">
        <v>4458.4780508302329</v>
      </c>
      <c r="AW277" s="691">
        <v>4394.7614497730301</v>
      </c>
      <c r="AX277" s="14">
        <v>4322.6309871221492</v>
      </c>
      <c r="AY277" s="14">
        <v>4273.5513049895526</v>
      </c>
      <c r="AZ277" s="14">
        <v>4235.0747443815308</v>
      </c>
      <c r="BA277" s="14">
        <v>4172.3280829502064</v>
      </c>
      <c r="BB277" s="691">
        <v>4104.7902319101031</v>
      </c>
      <c r="BC277" s="14">
        <v>4053.7924586175809</v>
      </c>
      <c r="BD277" s="14">
        <v>3995.4384248641209</v>
      </c>
      <c r="BE277" s="14">
        <v>3937.5067373252382</v>
      </c>
      <c r="BF277" s="14">
        <v>3878.4710187304131</v>
      </c>
      <c r="BG277" s="14">
        <v>3818.9719477407552</v>
      </c>
      <c r="BH277" s="14">
        <v>3761.4271311062244</v>
      </c>
      <c r="BI277" s="14">
        <v>3704.431045663729</v>
      </c>
      <c r="BJ277" s="14">
        <v>3648.6611132819348</v>
      </c>
      <c r="BK277" s="14">
        <v>3594.6208566082892</v>
      </c>
      <c r="BL277" s="14">
        <v>3539.3959741655735</v>
      </c>
      <c r="BM277" s="14">
        <v>3486.0928498741514</v>
      </c>
      <c r="BN277" s="14">
        <v>3431.6791642181547</v>
      </c>
      <c r="BO277" s="14">
        <v>3376.9542081982904</v>
      </c>
      <c r="BP277" s="14">
        <v>3319.2937478295644</v>
      </c>
      <c r="BQ277" s="14">
        <v>3261.7629314711889</v>
      </c>
      <c r="BR277" s="14">
        <v>3200.2240701709188</v>
      </c>
      <c r="BS277" s="14">
        <v>3158.0974679844894</v>
      </c>
      <c r="BT277" s="14">
        <v>3119.1372243979595</v>
      </c>
      <c r="BU277" s="14">
        <v>3086.8990429913706</v>
      </c>
      <c r="BV277" s="14">
        <v>3060.9494015478231</v>
      </c>
    </row>
    <row r="278" spans="1:80" ht="18" customHeight="1" x14ac:dyDescent="0.4">
      <c r="B278" s="843"/>
      <c r="C278" s="869"/>
      <c r="D278" s="891"/>
      <c r="E278" s="35"/>
      <c r="F278" s="90"/>
      <c r="G278" s="35"/>
      <c r="H278" s="90"/>
      <c r="I278" s="35"/>
      <c r="J278" s="35"/>
      <c r="K278" s="35"/>
      <c r="L278" s="35"/>
      <c r="M278" s="35"/>
      <c r="N278" s="35"/>
      <c r="O278" s="35"/>
      <c r="P278" s="35"/>
      <c r="Q278" s="35"/>
      <c r="R278" s="35"/>
      <c r="S278" s="35"/>
      <c r="T278" s="35"/>
      <c r="U278" s="35"/>
      <c r="V278" s="35"/>
      <c r="W278" s="35"/>
      <c r="X278" s="790"/>
      <c r="Y278" s="51"/>
      <c r="Z278" s="51"/>
      <c r="AA278" s="51"/>
      <c r="AB278" s="51"/>
      <c r="AC278" s="51"/>
      <c r="AD278" s="51"/>
      <c r="AE278" s="51"/>
      <c r="AF278" s="51"/>
      <c r="AG278" s="51"/>
      <c r="AH278" s="51"/>
      <c r="AI278" s="51"/>
      <c r="AJ278" s="51"/>
      <c r="AK278" s="51"/>
      <c r="AL278" s="51"/>
      <c r="AM278" s="51"/>
      <c r="AN278" s="51"/>
      <c r="AO278" s="51"/>
      <c r="AP278" s="51"/>
      <c r="AQ278" s="51"/>
      <c r="AR278" s="66"/>
      <c r="AS278" s="65"/>
      <c r="AT278" s="65"/>
      <c r="AU278" s="65"/>
      <c r="AV278" s="65"/>
      <c r="AW278" s="693"/>
      <c r="AX278" s="65"/>
      <c r="AY278" s="65"/>
      <c r="AZ278" s="65"/>
      <c r="BA278" s="65"/>
      <c r="BB278" s="795"/>
      <c r="BC278" s="65"/>
      <c r="BD278" s="65"/>
      <c r="BE278" s="65"/>
      <c r="BF278" s="65"/>
      <c r="BG278" s="65"/>
      <c r="BH278" s="65"/>
      <c r="BI278" s="65"/>
      <c r="BJ278" s="65"/>
      <c r="BK278" s="65"/>
      <c r="BL278" s="65"/>
      <c r="BM278" s="65"/>
      <c r="BN278" s="65"/>
      <c r="BO278" s="65"/>
      <c r="BP278" s="65"/>
      <c r="BQ278" s="65"/>
      <c r="BR278" s="65"/>
      <c r="BS278" s="65"/>
      <c r="BT278" s="65"/>
      <c r="BU278" s="65"/>
      <c r="BV278" s="65"/>
      <c r="BW278" s="50"/>
      <c r="BX278" s="50"/>
      <c r="BY278" s="50"/>
      <c r="BZ278" s="50"/>
      <c r="CA278" s="50"/>
      <c r="CB278" s="50"/>
    </row>
    <row r="279" spans="1:80" s="50" customFormat="1" ht="21.6" customHeight="1" x14ac:dyDescent="0.4">
      <c r="A279" s="856"/>
      <c r="B279" s="839"/>
      <c r="C279" s="876"/>
      <c r="D279" s="884"/>
      <c r="E279" s="35"/>
      <c r="F279" s="1033"/>
      <c r="G279" s="35"/>
      <c r="H279" s="1033"/>
      <c r="I279" s="180"/>
      <c r="J279" s="180"/>
      <c r="K279" s="180"/>
      <c r="L279" s="180"/>
      <c r="M279" s="180"/>
      <c r="N279" s="180"/>
      <c r="O279" s="180"/>
      <c r="P279" s="180"/>
      <c r="Q279" s="180"/>
      <c r="R279" s="180"/>
      <c r="S279" s="180"/>
      <c r="T279" s="180"/>
      <c r="U279" s="180"/>
      <c r="V279" s="180"/>
      <c r="W279" s="180"/>
      <c r="X279" s="792"/>
      <c r="Y279" s="180"/>
      <c r="Z279" s="180"/>
      <c r="AA279" s="180"/>
      <c r="AB279" s="180"/>
      <c r="AC279" s="180"/>
      <c r="AD279" s="180"/>
      <c r="AE279" s="180"/>
      <c r="AF279" s="180"/>
      <c r="AG279" s="180"/>
      <c r="AH279" s="180"/>
      <c r="AI279" s="180"/>
      <c r="AJ279" s="180"/>
      <c r="AK279" s="180"/>
      <c r="AL279" s="180"/>
      <c r="AM279" s="180"/>
      <c r="AN279" s="180"/>
      <c r="AO279" s="180"/>
      <c r="AP279" s="705"/>
      <c r="AQ279" s="705"/>
      <c r="AR279" s="705"/>
      <c r="AS279" s="35"/>
      <c r="AT279" s="35"/>
      <c r="AU279" s="35"/>
      <c r="AV279" s="35"/>
      <c r="AW279" s="82"/>
      <c r="AX279" s="35"/>
      <c r="AY279" s="35"/>
      <c r="AZ279" s="35"/>
      <c r="BA279" s="35"/>
      <c r="BB279" s="82"/>
      <c r="BC279" s="35"/>
      <c r="BD279" s="35"/>
      <c r="BE279" s="35"/>
      <c r="BF279" s="35"/>
      <c r="BG279" s="35"/>
      <c r="BH279" s="35"/>
      <c r="BI279" s="35"/>
      <c r="BJ279" s="35"/>
      <c r="BK279" s="35"/>
      <c r="BL279" s="35"/>
      <c r="BM279" s="35"/>
      <c r="BN279" s="35"/>
      <c r="BO279" s="35"/>
      <c r="BP279" s="35"/>
      <c r="BQ279" s="35"/>
      <c r="BR279" s="35"/>
      <c r="BS279" s="35"/>
      <c r="BT279" s="35"/>
      <c r="BU279" s="35"/>
      <c r="BV279" s="35"/>
    </row>
    <row r="280" spans="1:80" s="1202" customFormat="1" ht="47.4" customHeight="1" x14ac:dyDescent="0.75">
      <c r="A280" s="992"/>
      <c r="B280" s="844"/>
      <c r="C280" s="1196"/>
      <c r="D280" s="1197"/>
      <c r="E280" s="1139" t="s">
        <v>438</v>
      </c>
      <c r="F280" s="1034"/>
      <c r="G280" s="1198"/>
      <c r="H280" s="1034"/>
      <c r="I280" s="352"/>
      <c r="J280" s="352"/>
      <c r="K280" s="352"/>
      <c r="L280" s="352"/>
      <c r="M280" s="352"/>
      <c r="N280" s="352"/>
      <c r="O280" s="352"/>
      <c r="P280" s="352"/>
      <c r="Q280" s="352"/>
      <c r="R280" s="352"/>
      <c r="S280" s="352"/>
      <c r="T280" s="352"/>
      <c r="U280" s="352"/>
      <c r="V280" s="352"/>
      <c r="W280" s="352"/>
      <c r="X280" s="1306"/>
      <c r="Y280" s="352"/>
      <c r="Z280" s="352"/>
      <c r="AA280" s="352"/>
      <c r="AB280" s="352"/>
      <c r="AC280" s="352"/>
      <c r="AD280" s="352"/>
      <c r="AE280" s="352"/>
      <c r="AF280" s="352"/>
      <c r="AG280" s="352"/>
      <c r="AH280" s="352"/>
      <c r="AI280" s="352"/>
      <c r="AJ280" s="352"/>
      <c r="AK280" s="352"/>
      <c r="AL280" s="352"/>
      <c r="AM280" s="1199"/>
      <c r="AN280" s="1199"/>
      <c r="AO280" s="1199"/>
      <c r="AP280" s="1199"/>
      <c r="AQ280" s="1199"/>
      <c r="AR280" s="1199"/>
      <c r="AS280" s="1199"/>
      <c r="AT280" s="1199"/>
      <c r="AU280" s="1199"/>
      <c r="AV280" s="1199"/>
      <c r="AW280" s="1200"/>
      <c r="AX280" s="1199"/>
      <c r="AY280" s="1199"/>
      <c r="AZ280" s="1199"/>
      <c r="BA280" s="1199"/>
      <c r="BB280" s="1201"/>
      <c r="BC280" s="1199"/>
      <c r="BD280" s="1199"/>
      <c r="BE280" s="1199"/>
      <c r="BF280" s="1199"/>
      <c r="BG280" s="1199"/>
      <c r="BH280" s="1199"/>
      <c r="BI280" s="1199"/>
      <c r="BJ280" s="1199"/>
      <c r="BK280" s="1199"/>
      <c r="BL280" s="1199"/>
      <c r="BM280" s="1199"/>
      <c r="BN280" s="1199"/>
      <c r="BO280" s="1199"/>
      <c r="BP280" s="1199"/>
      <c r="BQ280" s="1199"/>
      <c r="BR280" s="1199"/>
      <c r="BS280" s="1199"/>
      <c r="BT280" s="1199"/>
      <c r="BU280" s="1199"/>
      <c r="BV280" s="1199"/>
    </row>
    <row r="281" spans="1:80" s="1241" customFormat="1" ht="48" customHeight="1" x14ac:dyDescent="0.4">
      <c r="A281" s="1232"/>
      <c r="B281" s="1233"/>
      <c r="C281" s="1234"/>
      <c r="D281" s="1235"/>
      <c r="E281" s="897" t="s">
        <v>175</v>
      </c>
      <c r="F281" s="1236"/>
      <c r="G281" s="1237"/>
      <c r="H281" s="1236"/>
      <c r="I281" s="1237"/>
      <c r="J281" s="1237"/>
      <c r="K281" s="1237"/>
      <c r="L281" s="1237"/>
      <c r="M281" s="1237"/>
      <c r="N281" s="1237"/>
      <c r="O281" s="1237"/>
      <c r="P281" s="1237"/>
      <c r="Q281" s="1237"/>
      <c r="R281" s="1237"/>
      <c r="S281" s="1237"/>
      <c r="T281" s="1237"/>
      <c r="U281" s="1237"/>
      <c r="V281" s="1237"/>
      <c r="W281" s="1237"/>
      <c r="X281" s="1307"/>
      <c r="Y281" s="1238"/>
      <c r="Z281" s="1238"/>
      <c r="AA281" s="1238"/>
      <c r="AB281" s="1238"/>
      <c r="AC281" s="1238"/>
      <c r="AD281" s="1238"/>
      <c r="AE281" s="1238"/>
      <c r="AF281" s="1238"/>
      <c r="AG281" s="1238"/>
      <c r="AH281" s="1238"/>
      <c r="AI281" s="1238"/>
      <c r="AJ281" s="1238"/>
      <c r="AK281" s="1238"/>
      <c r="AL281" s="1238"/>
      <c r="AM281" s="1238"/>
      <c r="AN281" s="1238"/>
      <c r="AO281" s="1238"/>
      <c r="AP281" s="1238"/>
      <c r="AQ281" s="1238"/>
      <c r="AR281" s="1238"/>
      <c r="AS281" s="1238"/>
      <c r="AT281" s="1238"/>
      <c r="AU281" s="1238"/>
      <c r="AV281" s="1238"/>
      <c r="AW281" s="1239"/>
      <c r="AX281" s="1238"/>
      <c r="AY281" s="1238"/>
      <c r="AZ281" s="1238"/>
      <c r="BA281" s="1238"/>
      <c r="BB281" s="1240"/>
      <c r="BC281" s="1238"/>
      <c r="BD281" s="1238"/>
      <c r="BE281" s="1238"/>
      <c r="BF281" s="1238"/>
      <c r="BG281" s="1238"/>
      <c r="BH281" s="1238"/>
      <c r="BI281" s="1238"/>
      <c r="BJ281" s="1238"/>
      <c r="BK281" s="1238"/>
      <c r="BL281" s="1238"/>
      <c r="BM281" s="1238"/>
      <c r="BN281" s="1238"/>
      <c r="BO281" s="1238"/>
      <c r="BP281" s="1238"/>
      <c r="BQ281" s="1238"/>
      <c r="BR281" s="1238"/>
      <c r="BS281" s="1238"/>
      <c r="BT281" s="1238"/>
      <c r="BU281" s="1238"/>
      <c r="BV281" s="1238"/>
    </row>
    <row r="282" spans="1:80" ht="18" customHeight="1" x14ac:dyDescent="0.4">
      <c r="B282" s="843"/>
      <c r="C282" s="869"/>
      <c r="D282" s="891"/>
      <c r="E282" s="35"/>
      <c r="F282" s="90"/>
      <c r="G282" s="35"/>
      <c r="H282" s="90"/>
      <c r="I282" s="35"/>
      <c r="J282" s="35"/>
      <c r="K282" s="35"/>
      <c r="L282" s="35"/>
      <c r="M282" s="35"/>
      <c r="N282" s="35"/>
      <c r="O282" s="35"/>
      <c r="P282" s="35"/>
      <c r="Q282" s="35"/>
      <c r="R282" s="35"/>
      <c r="S282" s="35"/>
      <c r="T282" s="35"/>
      <c r="U282" s="35"/>
      <c r="V282" s="35"/>
      <c r="W282" s="35"/>
      <c r="X282" s="790"/>
      <c r="Y282" s="51"/>
      <c r="Z282" s="51"/>
      <c r="AA282" s="51"/>
      <c r="AB282" s="51"/>
      <c r="AC282" s="51"/>
      <c r="AD282" s="51"/>
      <c r="AE282" s="51"/>
      <c r="AF282" s="51"/>
      <c r="AG282" s="51"/>
      <c r="AH282" s="51"/>
      <c r="AI282" s="51"/>
      <c r="AJ282" s="51"/>
      <c r="AK282" s="51"/>
      <c r="AL282" s="51"/>
      <c r="AM282" s="51"/>
      <c r="AN282" s="51"/>
      <c r="AO282" s="51"/>
      <c r="AP282" s="51"/>
      <c r="AQ282" s="51"/>
      <c r="AR282" s="66"/>
      <c r="AS282" s="65"/>
      <c r="AT282" s="65"/>
      <c r="AU282" s="65"/>
      <c r="AV282" s="65"/>
      <c r="AW282" s="693"/>
      <c r="AX282" s="65"/>
      <c r="AY282" s="65"/>
      <c r="AZ282" s="65"/>
      <c r="BA282" s="65"/>
      <c r="BB282" s="795"/>
      <c r="BC282" s="65"/>
      <c r="BD282" s="65"/>
      <c r="BE282" s="65"/>
      <c r="BF282" s="65"/>
      <c r="BG282" s="65"/>
      <c r="BH282" s="65"/>
      <c r="BI282" s="65"/>
      <c r="BJ282" s="65"/>
      <c r="BK282" s="65"/>
      <c r="BL282" s="65"/>
      <c r="BM282" s="65"/>
      <c r="BN282" s="65"/>
      <c r="BO282" s="65"/>
      <c r="BP282" s="65"/>
      <c r="BQ282" s="65"/>
      <c r="BR282" s="65"/>
      <c r="BS282" s="65"/>
      <c r="BT282" s="65"/>
      <c r="BU282" s="65"/>
      <c r="BV282" s="65"/>
      <c r="BW282" s="50"/>
      <c r="BX282" s="50"/>
      <c r="BY282" s="50"/>
      <c r="BZ282" s="50"/>
      <c r="CA282" s="50"/>
      <c r="CB282" s="50"/>
    </row>
    <row r="283" spans="1:80" s="65" customFormat="1" ht="22.95" customHeight="1" x14ac:dyDescent="0.4">
      <c r="A283" s="858"/>
      <c r="B283" s="839"/>
      <c r="C283" s="869" t="s">
        <v>44</v>
      </c>
      <c r="D283" s="884"/>
      <c r="E283" s="356" t="str">
        <f>$E$5</f>
        <v>Söguleg losun</v>
      </c>
      <c r="F283" s="1035"/>
      <c r="G283" s="356" t="s">
        <v>330</v>
      </c>
      <c r="H283" s="1035"/>
      <c r="I283" s="67"/>
      <c r="J283" s="67"/>
      <c r="K283" s="67"/>
      <c r="L283" s="67"/>
      <c r="M283" s="67"/>
      <c r="N283" s="67"/>
      <c r="O283" s="67"/>
      <c r="P283" s="67"/>
      <c r="Q283" s="67"/>
      <c r="R283" s="67"/>
      <c r="S283" s="67"/>
      <c r="T283" s="67"/>
      <c r="U283" s="67"/>
      <c r="V283" s="67"/>
      <c r="W283" s="67"/>
      <c r="X283" s="1308"/>
      <c r="Y283" s="83"/>
      <c r="Z283" s="83"/>
      <c r="AA283" s="83"/>
      <c r="AB283" s="83"/>
      <c r="AC283" s="83"/>
      <c r="AD283" s="83"/>
      <c r="AE283" s="83"/>
      <c r="AF283" s="83"/>
      <c r="AG283" s="83"/>
      <c r="AH283" s="83"/>
      <c r="AI283" s="83"/>
      <c r="AJ283" s="83"/>
      <c r="AK283" s="83"/>
      <c r="AL283" s="83"/>
      <c r="AM283" s="613"/>
      <c r="AN283" s="83"/>
      <c r="AO283" s="84"/>
      <c r="AP283" s="83"/>
      <c r="AQ283" s="83"/>
      <c r="AR283" s="84"/>
      <c r="AS283" s="84"/>
      <c r="AT283" s="84"/>
      <c r="AU283" s="84"/>
      <c r="AV283" s="84"/>
      <c r="AW283" s="695"/>
      <c r="AX283" s="84"/>
      <c r="AY283" s="84"/>
      <c r="AZ283" s="84"/>
      <c r="BA283" s="84"/>
      <c r="BB283" s="796"/>
      <c r="BC283" s="84"/>
      <c r="BD283" s="84"/>
      <c r="BE283" s="84"/>
      <c r="BF283" s="84"/>
      <c r="BG283" s="84"/>
      <c r="BH283" s="84"/>
      <c r="BI283" s="84"/>
      <c r="BJ283" s="84"/>
      <c r="BK283" s="84"/>
      <c r="BL283" s="84"/>
      <c r="BM283" s="84"/>
      <c r="BN283" s="84"/>
      <c r="BO283" s="84"/>
      <c r="BP283" s="84"/>
      <c r="BQ283" s="84"/>
      <c r="BR283" s="84"/>
      <c r="BS283" s="84"/>
      <c r="BT283" s="84"/>
      <c r="BU283" s="84"/>
      <c r="BV283" s="84"/>
    </row>
    <row r="284" spans="1:80" s="1131" customFormat="1" ht="17.399999999999999" customHeight="1" x14ac:dyDescent="0.4">
      <c r="A284" s="1095"/>
      <c r="B284" s="845" t="s">
        <v>47</v>
      </c>
      <c r="C284" s="880" t="str">
        <f>B284</f>
        <v>1.A.3.b Road transportationkt CO2-eq</v>
      </c>
      <c r="D284" s="889" t="s">
        <v>44</v>
      </c>
      <c r="E284" s="11" t="s">
        <v>6</v>
      </c>
      <c r="F284" s="1013"/>
      <c r="G284" s="11" t="str">
        <f>$G$55</f>
        <v>Road Transport</v>
      </c>
      <c r="H284" s="1013"/>
      <c r="I284" s="174"/>
      <c r="J284" s="174"/>
      <c r="K284" s="174"/>
      <c r="L284" s="174"/>
      <c r="M284" s="174"/>
      <c r="N284" s="174"/>
      <c r="O284" s="174"/>
      <c r="P284" s="174"/>
      <c r="Q284" s="174"/>
      <c r="R284" s="174"/>
      <c r="S284" s="174"/>
      <c r="T284" s="174"/>
      <c r="U284" s="174"/>
      <c r="V284" s="174"/>
      <c r="W284" s="174"/>
      <c r="X284" s="704">
        <v>772.96720116217978</v>
      </c>
      <c r="Y284" s="11">
        <v>882.31132379605481</v>
      </c>
      <c r="Z284" s="11">
        <v>913.83614619722141</v>
      </c>
      <c r="AA284" s="11">
        <v>860.22323028213884</v>
      </c>
      <c r="AB284" s="11">
        <v>861.21528928281407</v>
      </c>
      <c r="AC284" s="11">
        <v>813.89802161205967</v>
      </c>
      <c r="AD284" s="11">
        <v>795.69099258781853</v>
      </c>
      <c r="AE284" s="11">
        <v>790.44455922423981</v>
      </c>
      <c r="AF284" s="11">
        <v>805.1705823155595</v>
      </c>
      <c r="AG284" s="11">
        <v>804.98232350461672</v>
      </c>
      <c r="AH284" s="11">
        <v>828.27095982461969</v>
      </c>
      <c r="AI284" s="11">
        <v>904.74762539415917</v>
      </c>
      <c r="AJ284" s="11">
        <v>955.78975219982249</v>
      </c>
      <c r="AK284" s="11">
        <v>983.0091585136197</v>
      </c>
      <c r="AL284" s="11">
        <v>963.43113685715196</v>
      </c>
      <c r="AM284" s="11">
        <v>836.92654422903922</v>
      </c>
      <c r="AN284" s="11">
        <v>866.31820877820041</v>
      </c>
      <c r="AO284" s="11">
        <v>933.32556342634609</v>
      </c>
      <c r="AP284" s="11">
        <v>928.55777773719262</v>
      </c>
      <c r="AQ284" s="11">
        <v>905.50742448156166</v>
      </c>
      <c r="AR284" s="11">
        <v>917.25938476071508</v>
      </c>
      <c r="AS284" s="616"/>
      <c r="AT284" s="12"/>
      <c r="AU284" s="12"/>
      <c r="AV284" s="12"/>
      <c r="AW284" s="696"/>
      <c r="AX284" s="12"/>
      <c r="AY284" s="12"/>
      <c r="AZ284" s="12"/>
      <c r="BA284" s="12"/>
      <c r="BB284" s="791"/>
      <c r="BC284" s="12"/>
      <c r="BD284" s="12"/>
      <c r="BE284" s="12"/>
      <c r="BF284" s="12"/>
      <c r="BG284" s="12"/>
      <c r="BH284" s="12"/>
      <c r="BI284" s="12"/>
      <c r="BJ284" s="12"/>
      <c r="BK284" s="12"/>
      <c r="BL284" s="12"/>
      <c r="BM284" s="12"/>
      <c r="BN284" s="12"/>
      <c r="BO284" s="12"/>
      <c r="BP284" s="12"/>
      <c r="BQ284" s="12"/>
      <c r="BR284" s="12"/>
      <c r="BS284" s="12"/>
      <c r="BT284" s="12"/>
      <c r="BU284" s="12"/>
      <c r="BV284" s="12"/>
    </row>
    <row r="285" spans="1:80" s="68" customFormat="1" ht="17.399999999999999" customHeight="1" x14ac:dyDescent="0.4">
      <c r="A285" s="859"/>
      <c r="B285" s="843" t="s">
        <v>46</v>
      </c>
      <c r="C285" s="880" t="str">
        <f t="shared" ref="C285:C295" si="98">B285</f>
        <v>1.A.4.c.iii Agriculture/Forestry/Fishing - Fishing kt CO2-eq</v>
      </c>
      <c r="D285" s="890" t="s">
        <v>44</v>
      </c>
      <c r="E285" s="11" t="s">
        <v>5</v>
      </c>
      <c r="F285" s="1013"/>
      <c r="G285" s="11" t="str">
        <f>$G$54</f>
        <v>Fishing</v>
      </c>
      <c r="H285" s="1013"/>
      <c r="I285" s="174"/>
      <c r="J285" s="174"/>
      <c r="K285" s="174"/>
      <c r="L285" s="174"/>
      <c r="M285" s="174"/>
      <c r="N285" s="174"/>
      <c r="O285" s="174"/>
      <c r="P285" s="174"/>
      <c r="Q285" s="174"/>
      <c r="R285" s="174"/>
      <c r="S285" s="174"/>
      <c r="T285" s="174"/>
      <c r="U285" s="174"/>
      <c r="V285" s="174"/>
      <c r="W285" s="174"/>
      <c r="X285" s="704">
        <v>742.27579695757936</v>
      </c>
      <c r="Y285" s="11">
        <v>676.16624793131371</v>
      </c>
      <c r="Z285" s="11">
        <v>768.90031104164586</v>
      </c>
      <c r="AA285" s="11">
        <v>706.67813037021858</v>
      </c>
      <c r="AB285" s="11">
        <v>762.70393720745039</v>
      </c>
      <c r="AC285" s="11">
        <v>726.56824505484042</v>
      </c>
      <c r="AD285" s="11">
        <v>657.20260984912954</v>
      </c>
      <c r="AE285" s="11">
        <v>651.37378056662806</v>
      </c>
      <c r="AF285" s="11">
        <v>614.72353826059737</v>
      </c>
      <c r="AG285" s="11">
        <v>606.24731041801465</v>
      </c>
      <c r="AH285" s="11">
        <v>621.21740588116916</v>
      </c>
      <c r="AI285" s="11">
        <v>518.76690503112491</v>
      </c>
      <c r="AJ285" s="11">
        <v>530.38142924834813</v>
      </c>
      <c r="AK285" s="11">
        <v>546.90019133575004</v>
      </c>
      <c r="AL285" s="11">
        <v>518.36261174209733</v>
      </c>
      <c r="AM285" s="11">
        <v>509.49421478812258</v>
      </c>
      <c r="AN285" s="11">
        <v>569.42147138918847</v>
      </c>
      <c r="AO285" s="11">
        <v>480.50043943615663</v>
      </c>
      <c r="AP285" s="11">
        <v>485.3352147538011</v>
      </c>
      <c r="AQ285" s="11">
        <v>520.01881128620573</v>
      </c>
      <c r="AR285" s="11">
        <v>482.07188977314064</v>
      </c>
      <c r="AS285" s="616"/>
      <c r="AT285" s="12"/>
      <c r="AU285" s="12"/>
      <c r="AV285" s="12"/>
      <c r="AW285" s="696"/>
      <c r="AX285" s="12"/>
      <c r="AY285" s="12"/>
      <c r="AZ285" s="12"/>
      <c r="BA285" s="12"/>
      <c r="BB285" s="791"/>
      <c r="BC285" s="12"/>
      <c r="BD285" s="12"/>
      <c r="BE285" s="12"/>
      <c r="BF285" s="12"/>
      <c r="BG285" s="12"/>
      <c r="BH285" s="12"/>
      <c r="BI285" s="12"/>
      <c r="BJ285" s="12"/>
      <c r="BK285" s="12"/>
      <c r="BL285" s="12"/>
      <c r="BM285" s="12"/>
      <c r="BN285" s="12"/>
      <c r="BO285" s="12"/>
      <c r="BP285" s="12"/>
      <c r="BQ285" s="12"/>
      <c r="BR285" s="12"/>
      <c r="BS285" s="12"/>
      <c r="BT285" s="12"/>
      <c r="BU285" s="12"/>
      <c r="BV285" s="12"/>
    </row>
    <row r="286" spans="1:80" s="68" customFormat="1" ht="17.399999999999999" customHeight="1" x14ac:dyDescent="0.4">
      <c r="A286" s="859"/>
      <c r="B286" s="843" t="s">
        <v>40</v>
      </c>
      <c r="C286" s="880" t="str">
        <f t="shared" si="98"/>
        <v>3. Agriculturekt CO2-eq</v>
      </c>
      <c r="D286" s="890" t="s">
        <v>44</v>
      </c>
      <c r="E286" s="11" t="s">
        <v>2</v>
      </c>
      <c r="F286" s="1036"/>
      <c r="G286" s="11" t="s">
        <v>111</v>
      </c>
      <c r="H286" s="1036"/>
      <c r="I286" s="174"/>
      <c r="J286" s="174"/>
      <c r="K286" s="174"/>
      <c r="L286" s="174"/>
      <c r="M286" s="174"/>
      <c r="N286" s="174"/>
      <c r="O286" s="174"/>
      <c r="P286" s="174"/>
      <c r="Q286" s="174"/>
      <c r="R286" s="174"/>
      <c r="S286" s="174"/>
      <c r="T286" s="174"/>
      <c r="U286" s="174"/>
      <c r="V286" s="174"/>
      <c r="W286" s="174"/>
      <c r="X286" s="704">
        <v>686.28519341898311</v>
      </c>
      <c r="Y286" s="11">
        <v>713.27916075697351</v>
      </c>
      <c r="Z286" s="11">
        <v>730.96270564890381</v>
      </c>
      <c r="AA286" s="11">
        <v>747.74759930352434</v>
      </c>
      <c r="AB286" s="11">
        <v>734.57445224587002</v>
      </c>
      <c r="AC286" s="11">
        <v>722.38276175524891</v>
      </c>
      <c r="AD286" s="11">
        <v>719.40818265295684</v>
      </c>
      <c r="AE286" s="11">
        <v>713.8355868844144</v>
      </c>
      <c r="AF286" s="11">
        <v>705.01994525796056</v>
      </c>
      <c r="AG286" s="11">
        <v>744.15639330645411</v>
      </c>
      <c r="AH286" s="11">
        <v>734.06322093296922</v>
      </c>
      <c r="AI286" s="11">
        <v>731.54313779732206</v>
      </c>
      <c r="AJ286" s="11">
        <v>734.99081320707012</v>
      </c>
      <c r="AK286" s="11">
        <v>712.0887178357043</v>
      </c>
      <c r="AL286" s="11">
        <v>696.98270903435753</v>
      </c>
      <c r="AM286" s="11">
        <v>693.96407628592169</v>
      </c>
      <c r="AN286" s="11">
        <v>698.15015133017482</v>
      </c>
      <c r="AO286" s="11">
        <v>690.03480363759775</v>
      </c>
      <c r="AP286" s="11">
        <v>667.46610440740528</v>
      </c>
      <c r="AQ286" s="11">
        <v>668.7584145388447</v>
      </c>
      <c r="AR286" s="11">
        <v>668.34042724521601</v>
      </c>
      <c r="AS286" s="616"/>
      <c r="AT286" s="12"/>
      <c r="AU286" s="12"/>
      <c r="AV286" s="12"/>
      <c r="AW286" s="696"/>
      <c r="AX286" s="12"/>
      <c r="AY286" s="12"/>
      <c r="AZ286" s="12"/>
      <c r="BA286" s="12"/>
      <c r="BB286" s="791"/>
      <c r="BC286" s="12"/>
      <c r="BD286" s="12"/>
      <c r="BE286" s="12"/>
      <c r="BF286" s="12"/>
      <c r="BG286" s="12"/>
      <c r="BH286" s="12"/>
      <c r="BI286" s="12"/>
      <c r="BJ286" s="12"/>
      <c r="BK286" s="12"/>
      <c r="BL286" s="12"/>
      <c r="BM286" s="12"/>
      <c r="BN286" s="12"/>
      <c r="BO286" s="12"/>
      <c r="BP286" s="12"/>
      <c r="BQ286" s="12"/>
      <c r="BR286" s="12"/>
      <c r="BS286" s="12"/>
      <c r="BT286" s="12"/>
      <c r="BU286" s="12"/>
      <c r="BV286" s="12"/>
    </row>
    <row r="287" spans="1:80" s="68" customFormat="1" ht="17.399999999999999" customHeight="1" x14ac:dyDescent="0.4">
      <c r="A287" s="859"/>
      <c r="B287" s="843" t="s">
        <v>64</v>
      </c>
      <c r="C287" s="880" t="str">
        <f t="shared" si="98"/>
        <v>5.A Solid waste disposalkt CO2-eq</v>
      </c>
      <c r="D287" s="890" t="s">
        <v>44</v>
      </c>
      <c r="E287" s="11" t="s">
        <v>24</v>
      </c>
      <c r="F287" s="1036"/>
      <c r="G287" s="11" t="s">
        <v>123</v>
      </c>
      <c r="H287" s="1036"/>
      <c r="I287" s="174"/>
      <c r="J287" s="174"/>
      <c r="K287" s="174"/>
      <c r="L287" s="174"/>
      <c r="M287" s="174"/>
      <c r="N287" s="174"/>
      <c r="O287" s="174"/>
      <c r="P287" s="174"/>
      <c r="Q287" s="174"/>
      <c r="R287" s="174"/>
      <c r="S287" s="174"/>
      <c r="T287" s="174"/>
      <c r="U287" s="174"/>
      <c r="V287" s="174"/>
      <c r="W287" s="174"/>
      <c r="X287" s="704">
        <v>284.74807820622914</v>
      </c>
      <c r="Y287" s="11">
        <v>309.54014118438505</v>
      </c>
      <c r="Z287" s="11">
        <v>308.77883319341538</v>
      </c>
      <c r="AA287" s="11">
        <v>293.71320675620075</v>
      </c>
      <c r="AB287" s="11">
        <v>284.40110159583026</v>
      </c>
      <c r="AC287" s="11">
        <v>281.06235084684624</v>
      </c>
      <c r="AD287" s="11">
        <v>260.51119721295925</v>
      </c>
      <c r="AE287" s="11">
        <v>238.50192990514384</v>
      </c>
      <c r="AF287" s="11">
        <v>238.68412953693718</v>
      </c>
      <c r="AG287" s="11">
        <v>237.2180456854561</v>
      </c>
      <c r="AH287" s="11">
        <v>234.12993414321605</v>
      </c>
      <c r="AI287" s="11">
        <v>231.33257548976107</v>
      </c>
      <c r="AJ287" s="11">
        <v>227.14669210059898</v>
      </c>
      <c r="AK287" s="11">
        <v>227.01313856700796</v>
      </c>
      <c r="AL287" s="11">
        <v>201.44805468176281</v>
      </c>
      <c r="AM287" s="11">
        <v>230.03753195889635</v>
      </c>
      <c r="AN287" s="11">
        <v>236.5353899945795</v>
      </c>
      <c r="AO287" s="11">
        <v>226.97369486190163</v>
      </c>
      <c r="AP287" s="11">
        <v>215.86044896641374</v>
      </c>
      <c r="AQ287" s="11">
        <v>202.96110681598327</v>
      </c>
      <c r="AR287" s="11">
        <v>185.03247377735417</v>
      </c>
      <c r="AS287" s="616"/>
      <c r="AT287" s="12"/>
      <c r="AU287" s="12"/>
      <c r="AV287" s="12"/>
      <c r="AW287" s="696"/>
      <c r="AX287" s="12"/>
      <c r="AY287" s="12"/>
      <c r="AZ287" s="12"/>
      <c r="BA287" s="12"/>
      <c r="BB287" s="791"/>
      <c r="BC287" s="12"/>
      <c r="BD287" s="12"/>
      <c r="BE287" s="12"/>
      <c r="BF287" s="12"/>
      <c r="BG287" s="12"/>
      <c r="BH287" s="12"/>
      <c r="BI287" s="12"/>
      <c r="BJ287" s="12"/>
      <c r="BK287" s="12"/>
      <c r="BL287" s="12"/>
      <c r="BM287" s="12"/>
      <c r="BN287" s="12"/>
      <c r="BO287" s="12"/>
      <c r="BP287" s="12"/>
      <c r="BQ287" s="12"/>
      <c r="BR287" s="12"/>
      <c r="BS287" s="12"/>
      <c r="BT287" s="12"/>
      <c r="BU287" s="12"/>
      <c r="BV287" s="12"/>
    </row>
    <row r="288" spans="1:80" s="68" customFormat="1" ht="17.399999999999999" customHeight="1" x14ac:dyDescent="0.4">
      <c r="A288" s="859"/>
      <c r="B288" s="843" t="s">
        <v>56</v>
      </c>
      <c r="C288" s="880" t="str">
        <f t="shared" si="98"/>
        <v>2.F Product uses as substitutes for ODSkt CO2-eq</v>
      </c>
      <c r="D288" s="890" t="s">
        <v>44</v>
      </c>
      <c r="E288" s="11" t="s">
        <v>32</v>
      </c>
      <c r="F288" s="1036"/>
      <c r="G288" s="11" t="s">
        <v>119</v>
      </c>
      <c r="H288" s="1036"/>
      <c r="I288" s="174"/>
      <c r="J288" s="174"/>
      <c r="K288" s="174"/>
      <c r="L288" s="174"/>
      <c r="M288" s="174"/>
      <c r="N288" s="174"/>
      <c r="O288" s="174"/>
      <c r="P288" s="174"/>
      <c r="Q288" s="174"/>
      <c r="R288" s="174"/>
      <c r="S288" s="174"/>
      <c r="T288" s="174"/>
      <c r="U288" s="174"/>
      <c r="V288" s="174"/>
      <c r="W288" s="174"/>
      <c r="X288" s="704">
        <v>57.174648942645199</v>
      </c>
      <c r="Y288" s="11">
        <v>66.250268649095815</v>
      </c>
      <c r="Z288" s="11">
        <v>66.915546026360261</v>
      </c>
      <c r="AA288" s="11">
        <v>65.583171157312066</v>
      </c>
      <c r="AB288" s="11">
        <v>78.795271949020886</v>
      </c>
      <c r="AC288" s="11">
        <v>106.61470091301383</v>
      </c>
      <c r="AD288" s="11">
        <v>131.32983003906716</v>
      </c>
      <c r="AE288" s="11">
        <v>136.49856009831677</v>
      </c>
      <c r="AF288" s="11">
        <v>166.65889710933112</v>
      </c>
      <c r="AG288" s="11">
        <v>164.47325731678617</v>
      </c>
      <c r="AH288" s="11">
        <v>156.81946341166957</v>
      </c>
      <c r="AI288" s="11">
        <v>173.64328427983708</v>
      </c>
      <c r="AJ288" s="11">
        <v>164.58965162753336</v>
      </c>
      <c r="AK288" s="11">
        <v>182.47701962243832</v>
      </c>
      <c r="AL288" s="11">
        <v>194.37435453854647</v>
      </c>
      <c r="AM288" s="11">
        <v>198.14512441654921</v>
      </c>
      <c r="AN288" s="11">
        <v>162.47097960142474</v>
      </c>
      <c r="AO288" s="11">
        <v>133.24025432048776</v>
      </c>
      <c r="AP288" s="11">
        <v>124.58104370836502</v>
      </c>
      <c r="AQ288" s="11">
        <v>107.78462088442339</v>
      </c>
      <c r="AR288" s="11">
        <v>105.65811164441938</v>
      </c>
      <c r="AS288" s="616"/>
      <c r="AT288" s="12"/>
      <c r="AU288" s="12"/>
      <c r="AV288" s="12"/>
      <c r="AW288" s="696"/>
      <c r="AX288" s="12"/>
      <c r="AY288" s="12"/>
      <c r="AZ288" s="12"/>
      <c r="BA288" s="12"/>
      <c r="BB288" s="791"/>
      <c r="BC288" s="12"/>
      <c r="BD288" s="12"/>
      <c r="BE288" s="12"/>
      <c r="BF288" s="12"/>
      <c r="BG288" s="12"/>
      <c r="BH288" s="12"/>
      <c r="BI288" s="12"/>
      <c r="BJ288" s="12"/>
      <c r="BK288" s="12"/>
      <c r="BL288" s="12"/>
      <c r="BM288" s="12"/>
      <c r="BN288" s="12"/>
      <c r="BO288" s="12"/>
      <c r="BP288" s="12"/>
      <c r="BQ288" s="12"/>
      <c r="BR288" s="12"/>
      <c r="BS288" s="12"/>
      <c r="BT288" s="12"/>
      <c r="BU288" s="12"/>
      <c r="BV288" s="12"/>
    </row>
    <row r="289" spans="1:74" s="68" customFormat="1" ht="17.399999999999999" customHeight="1" x14ac:dyDescent="0.4">
      <c r="A289" s="859"/>
      <c r="B289" s="843" t="s">
        <v>51</v>
      </c>
      <c r="C289" s="880" t="str">
        <f t="shared" si="98"/>
        <v>1.B.2.d Geothermal Energykt CO2-eq</v>
      </c>
      <c r="D289" s="890" t="s">
        <v>44</v>
      </c>
      <c r="E289" s="11" t="s">
        <v>10</v>
      </c>
      <c r="F289" s="1013"/>
      <c r="G289" s="11" t="s">
        <v>121</v>
      </c>
      <c r="H289" s="1013"/>
      <c r="I289" s="174"/>
      <c r="J289" s="174"/>
      <c r="K289" s="174"/>
      <c r="L289" s="174"/>
      <c r="M289" s="174"/>
      <c r="N289" s="174"/>
      <c r="O289" s="174"/>
      <c r="P289" s="174"/>
      <c r="Q289" s="174"/>
      <c r="R289" s="174"/>
      <c r="S289" s="174"/>
      <c r="T289" s="174"/>
      <c r="U289" s="174"/>
      <c r="V289" s="174"/>
      <c r="W289" s="174"/>
      <c r="X289" s="704">
        <v>119.26047094208158</v>
      </c>
      <c r="Y289" s="11">
        <v>129.44840884767729</v>
      </c>
      <c r="Z289" s="11">
        <v>150.13672395880565</v>
      </c>
      <c r="AA289" s="11">
        <v>188.7494684116991</v>
      </c>
      <c r="AB289" s="11">
        <v>172.64175584137766</v>
      </c>
      <c r="AC289" s="11">
        <v>194.72300000000001</v>
      </c>
      <c r="AD289" s="11">
        <v>183.37799999999999</v>
      </c>
      <c r="AE289" s="11">
        <v>175.06768</v>
      </c>
      <c r="AF289" s="11">
        <v>176.928</v>
      </c>
      <c r="AG289" s="11">
        <v>206.00103132749297</v>
      </c>
      <c r="AH289" s="11">
        <v>172.26500096927683</v>
      </c>
      <c r="AI289" s="11">
        <v>162.99524576158018</v>
      </c>
      <c r="AJ289" s="11">
        <v>151.91344102803788</v>
      </c>
      <c r="AK289" s="11">
        <v>164.66100135548007</v>
      </c>
      <c r="AL289" s="11">
        <v>175.37661233554124</v>
      </c>
      <c r="AM289" s="11">
        <v>177.2397261242881</v>
      </c>
      <c r="AN289" s="11">
        <v>166.22976688024966</v>
      </c>
      <c r="AO289" s="11">
        <v>177.8928390442361</v>
      </c>
      <c r="AP289" s="11">
        <v>176.6385789664966</v>
      </c>
      <c r="AQ289" s="11">
        <v>223.29619818990452</v>
      </c>
      <c r="AR289" s="11">
        <v>214.07609476451782</v>
      </c>
      <c r="AS289" s="616"/>
      <c r="AT289" s="12"/>
      <c r="AU289" s="12"/>
      <c r="AV289" s="12"/>
      <c r="AW289" s="696"/>
      <c r="AX289" s="12"/>
      <c r="AY289" s="12"/>
      <c r="AZ289" s="12"/>
      <c r="BA289" s="12"/>
      <c r="BB289" s="791"/>
      <c r="BC289" s="12"/>
      <c r="BD289" s="12"/>
      <c r="BE289" s="12"/>
      <c r="BF289" s="12"/>
      <c r="BG289" s="12"/>
      <c r="BH289" s="12"/>
      <c r="BI289" s="12"/>
      <c r="BJ289" s="12"/>
      <c r="BK289" s="12"/>
      <c r="BL289" s="12"/>
      <c r="BM289" s="12"/>
      <c r="BN289" s="12"/>
      <c r="BO289" s="12"/>
      <c r="BP289" s="12"/>
      <c r="BQ289" s="12"/>
      <c r="BR289" s="12"/>
      <c r="BS289" s="12"/>
      <c r="BT289" s="12"/>
      <c r="BU289" s="12"/>
      <c r="BV289" s="12"/>
    </row>
    <row r="290" spans="1:74" s="68" customFormat="1" ht="17.399999999999999" customHeight="1" x14ac:dyDescent="0.4">
      <c r="A290" s="859"/>
      <c r="B290" s="843" t="s">
        <v>81</v>
      </c>
      <c r="C290" s="880" t="str">
        <f t="shared" si="98"/>
        <v>Mobile Machinery</v>
      </c>
      <c r="D290" s="890" t="s">
        <v>44</v>
      </c>
      <c r="E290" s="11" t="s">
        <v>9</v>
      </c>
      <c r="F290" s="1013"/>
      <c r="G290" s="11" t="s">
        <v>122</v>
      </c>
      <c r="H290" s="1013"/>
      <c r="I290" s="174"/>
      <c r="J290" s="174"/>
      <c r="K290" s="174"/>
      <c r="L290" s="174"/>
      <c r="M290" s="174"/>
      <c r="N290" s="174"/>
      <c r="O290" s="174"/>
      <c r="P290" s="174"/>
      <c r="Q290" s="174"/>
      <c r="R290" s="174"/>
      <c r="S290" s="174"/>
      <c r="T290" s="174"/>
      <c r="U290" s="174"/>
      <c r="V290" s="174"/>
      <c r="W290" s="174"/>
      <c r="X290" s="704">
        <f t="shared" ref="X290:AP290" si="99">SUM(X291:X293)</f>
        <v>236.89254361749525</v>
      </c>
      <c r="Y290" s="11">
        <f t="shared" si="99"/>
        <v>214.30164332811569</v>
      </c>
      <c r="Z290" s="11">
        <f t="shared" si="99"/>
        <v>215.8336624892838</v>
      </c>
      <c r="AA290" s="11">
        <f t="shared" si="99"/>
        <v>208.9615689366662</v>
      </c>
      <c r="AB290" s="11">
        <f t="shared" si="99"/>
        <v>145.57310735873384</v>
      </c>
      <c r="AC290" s="11">
        <f t="shared" si="99"/>
        <v>116.66251837871674</v>
      </c>
      <c r="AD290" s="11">
        <f t="shared" si="99"/>
        <v>106.724173287534</v>
      </c>
      <c r="AE290" s="11">
        <f t="shared" si="99"/>
        <v>102.82225724651583</v>
      </c>
      <c r="AF290" s="11">
        <f t="shared" si="99"/>
        <v>98.852644261966944</v>
      </c>
      <c r="AG290" s="11">
        <f t="shared" si="99"/>
        <v>117.37447230447314</v>
      </c>
      <c r="AH290" s="11">
        <f t="shared" si="99"/>
        <v>116.13287890779705</v>
      </c>
      <c r="AI290" s="11">
        <f t="shared" si="99"/>
        <v>134.94854641811295</v>
      </c>
      <c r="AJ290" s="11">
        <f t="shared" si="99"/>
        <v>138.05064207733511</v>
      </c>
      <c r="AK290" s="11">
        <f t="shared" si="99"/>
        <v>109.98053877254956</v>
      </c>
      <c r="AL290" s="11">
        <f t="shared" si="99"/>
        <v>86.903419069836744</v>
      </c>
      <c r="AM290" s="11">
        <f t="shared" si="99"/>
        <v>63.052941906921838</v>
      </c>
      <c r="AN290" s="11">
        <f t="shared" si="99"/>
        <v>60.294858741596478</v>
      </c>
      <c r="AO290" s="11">
        <f t="shared" si="99"/>
        <v>59.454653923532042</v>
      </c>
      <c r="AP290" s="11">
        <f t="shared" si="99"/>
        <v>74.887888616357046</v>
      </c>
      <c r="AQ290" s="11">
        <f t="shared" ref="AQ290:AR290" si="100">SUM(AQ291:AQ293)</f>
        <v>76.653020122222671</v>
      </c>
      <c r="AR290" s="11">
        <f t="shared" si="100"/>
        <v>77.003200912657135</v>
      </c>
      <c r="AS290" s="616"/>
      <c r="AT290" s="12"/>
      <c r="AU290" s="12"/>
      <c r="AV290" s="12"/>
      <c r="AW290" s="696"/>
      <c r="AX290" s="12"/>
      <c r="AY290" s="12"/>
      <c r="AZ290" s="12"/>
      <c r="BA290" s="12"/>
      <c r="BB290" s="791"/>
      <c r="BC290" s="12"/>
      <c r="BD290" s="12"/>
      <c r="BE290" s="12"/>
      <c r="BF290" s="12"/>
      <c r="BG290" s="12"/>
      <c r="BH290" s="12"/>
      <c r="BI290" s="12"/>
      <c r="BJ290" s="12"/>
      <c r="BK290" s="12"/>
      <c r="BL290" s="12"/>
      <c r="BM290" s="12"/>
      <c r="BN290" s="12"/>
      <c r="BO290" s="12"/>
      <c r="BP290" s="12"/>
      <c r="BQ290" s="12"/>
      <c r="BR290" s="12"/>
      <c r="BS290" s="12"/>
      <c r="BT290" s="12"/>
      <c r="BU290" s="12"/>
      <c r="BV290" s="12"/>
    </row>
    <row r="291" spans="1:74" s="85" customFormat="1" ht="17.399999999999999" customHeight="1" x14ac:dyDescent="0.4">
      <c r="A291" s="860"/>
      <c r="B291" s="843" t="s">
        <v>50</v>
      </c>
      <c r="C291" s="880" t="str">
        <f t="shared" si="98"/>
        <v>1.A.2.g.vii Off road vehicles and other machinerykt CO2-eq</v>
      </c>
      <c r="D291" s="890" t="s">
        <v>44</v>
      </c>
      <c r="E291" s="31" t="s">
        <v>102</v>
      </c>
      <c r="F291" s="64"/>
      <c r="G291" s="31" t="str">
        <f>$G$59</f>
        <v xml:space="preserve">   In Constructions</v>
      </c>
      <c r="H291" s="64"/>
      <c r="I291" s="175"/>
      <c r="J291" s="175"/>
      <c r="K291" s="175"/>
      <c r="L291" s="175"/>
      <c r="M291" s="175"/>
      <c r="N291" s="175"/>
      <c r="O291" s="175"/>
      <c r="P291" s="175"/>
      <c r="Q291" s="175"/>
      <c r="R291" s="175"/>
      <c r="S291" s="175"/>
      <c r="T291" s="175"/>
      <c r="U291" s="175"/>
      <c r="V291" s="175"/>
      <c r="W291" s="175"/>
      <c r="X291" s="706">
        <v>153.66195047105322</v>
      </c>
      <c r="Y291" s="31">
        <v>155.71676978987949</v>
      </c>
      <c r="Z291" s="31">
        <v>150.48729802823601</v>
      </c>
      <c r="AA291" s="31">
        <v>151.44139150530151</v>
      </c>
      <c r="AB291" s="31">
        <v>81.766719310086543</v>
      </c>
      <c r="AC291" s="31">
        <v>58.959304380842894</v>
      </c>
      <c r="AD291" s="31">
        <v>43.464997929006685</v>
      </c>
      <c r="AE291" s="31">
        <v>38.477212532478283</v>
      </c>
      <c r="AF291" s="31">
        <v>42.40943083318642</v>
      </c>
      <c r="AG291" s="31">
        <v>50.853830199193865</v>
      </c>
      <c r="AH291" s="31">
        <v>49.023975685145288</v>
      </c>
      <c r="AI291" s="31">
        <v>76.032129289090122</v>
      </c>
      <c r="AJ291" s="31">
        <v>75.463809760384237</v>
      </c>
      <c r="AK291" s="31">
        <v>63.785758284543988</v>
      </c>
      <c r="AL291" s="31">
        <v>59.198538088775599</v>
      </c>
      <c r="AM291" s="31">
        <v>27.853814659242364</v>
      </c>
      <c r="AN291" s="31">
        <v>34.582046854338998</v>
      </c>
      <c r="AO291" s="31">
        <v>36.300129178331858</v>
      </c>
      <c r="AP291" s="31">
        <v>52.869222558500233</v>
      </c>
      <c r="AQ291" s="31">
        <v>53.865706068344494</v>
      </c>
      <c r="AR291" s="31">
        <v>54.166925310289855</v>
      </c>
      <c r="AS291" s="12"/>
      <c r="AT291" s="12"/>
      <c r="AU291" s="12"/>
      <c r="AV291" s="12"/>
      <c r="AW291" s="689"/>
      <c r="AX291" s="12"/>
      <c r="AY291" s="12"/>
      <c r="AZ291" s="12"/>
      <c r="BA291" s="12"/>
      <c r="BB291" s="791"/>
      <c r="BC291" s="12"/>
      <c r="BD291" s="12"/>
      <c r="BE291" s="12"/>
      <c r="BF291" s="12"/>
      <c r="BG291" s="12"/>
      <c r="BH291" s="12"/>
      <c r="BI291" s="12"/>
      <c r="BJ291" s="12"/>
      <c r="BK291" s="12"/>
      <c r="BL291" s="12"/>
      <c r="BM291" s="12"/>
      <c r="BN291" s="12"/>
      <c r="BO291" s="12"/>
      <c r="BP291" s="12"/>
      <c r="BQ291" s="12"/>
      <c r="BR291" s="12"/>
      <c r="BS291" s="12"/>
      <c r="BT291" s="12"/>
      <c r="BU291" s="12"/>
      <c r="BV291" s="12"/>
    </row>
    <row r="292" spans="1:74" s="85" customFormat="1" ht="17.399999999999999" customHeight="1" x14ac:dyDescent="0.4">
      <c r="A292" s="860"/>
      <c r="B292" s="843" t="s">
        <v>75</v>
      </c>
      <c r="C292" s="880" t="str">
        <f t="shared" si="98"/>
        <v>1.A.4.c.ii Agriculture/Forestry/Fishing - Off-road vehicles and other machinerykt CO2-eq</v>
      </c>
      <c r="D292" s="883" t="s">
        <v>44</v>
      </c>
      <c r="E292" s="31" t="s">
        <v>103</v>
      </c>
      <c r="F292" s="64"/>
      <c r="G292" s="31" t="str">
        <f>$G$60</f>
        <v xml:space="preserve">   In Agriculture</v>
      </c>
      <c r="H292" s="64"/>
      <c r="I292" s="175"/>
      <c r="J292" s="175"/>
      <c r="K292" s="175"/>
      <c r="L292" s="175"/>
      <c r="M292" s="175"/>
      <c r="N292" s="175"/>
      <c r="O292" s="175"/>
      <c r="P292" s="175"/>
      <c r="Q292" s="175"/>
      <c r="R292" s="175"/>
      <c r="S292" s="175"/>
      <c r="T292" s="175"/>
      <c r="U292" s="175"/>
      <c r="V292" s="175"/>
      <c r="W292" s="175"/>
      <c r="X292" s="706">
        <v>78.747221294679207</v>
      </c>
      <c r="Y292" s="31">
        <v>54.583339856004564</v>
      </c>
      <c r="Z292" s="31">
        <v>60.916893193732243</v>
      </c>
      <c r="AA292" s="31">
        <v>50.927846446536435</v>
      </c>
      <c r="AB292" s="31">
        <v>57.673297629720217</v>
      </c>
      <c r="AC292" s="31">
        <v>51.534573846842271</v>
      </c>
      <c r="AD292" s="31">
        <v>51.359151097731356</v>
      </c>
      <c r="AE292" s="31">
        <v>62.100504459071395</v>
      </c>
      <c r="AF292" s="31">
        <v>54.286856518216197</v>
      </c>
      <c r="AG292" s="31">
        <v>63.864360145683186</v>
      </c>
      <c r="AH292" s="31">
        <v>64.411834195584191</v>
      </c>
      <c r="AI292" s="31">
        <v>56.293049928094973</v>
      </c>
      <c r="AJ292" s="31">
        <v>59.860556722324972</v>
      </c>
      <c r="AK292" s="31">
        <v>44.050258147638282</v>
      </c>
      <c r="AL292" s="31">
        <v>25.988802772860733</v>
      </c>
      <c r="AM292" s="31">
        <v>32.91334744479213</v>
      </c>
      <c r="AN292" s="31">
        <v>22.59934835452195</v>
      </c>
      <c r="AO292" s="31">
        <v>21.946797513646029</v>
      </c>
      <c r="AP292" s="31">
        <v>21.942146035012623</v>
      </c>
      <c r="AQ292" s="31">
        <v>21.771846603864322</v>
      </c>
      <c r="AR292" s="31">
        <v>22.787585908098663</v>
      </c>
      <c r="AS292" s="12"/>
      <c r="AT292" s="12"/>
      <c r="AU292" s="12"/>
      <c r="AV292" s="12"/>
      <c r="AW292" s="689"/>
      <c r="AX292" s="12"/>
      <c r="AY292" s="12"/>
      <c r="AZ292" s="12"/>
      <c r="BA292" s="12"/>
      <c r="BB292" s="791"/>
      <c r="BC292" s="12"/>
      <c r="BD292" s="12"/>
      <c r="BE292" s="12"/>
      <c r="BF292" s="12"/>
      <c r="BG292" s="12"/>
      <c r="BH292" s="12"/>
      <c r="BI292" s="12"/>
      <c r="BJ292" s="12"/>
      <c r="BK292" s="12"/>
      <c r="BL292" s="12"/>
      <c r="BM292" s="12"/>
      <c r="BN292" s="12"/>
      <c r="BO292" s="12"/>
      <c r="BP292" s="12"/>
      <c r="BQ292" s="12"/>
      <c r="BR292" s="12"/>
      <c r="BS292" s="12"/>
      <c r="BT292" s="12"/>
      <c r="BU292" s="12"/>
      <c r="BV292" s="12"/>
    </row>
    <row r="293" spans="1:74" s="1131" customFormat="1" ht="17.399999999999999" customHeight="1" x14ac:dyDescent="0.4">
      <c r="A293" s="1095"/>
      <c r="B293" s="843" t="s">
        <v>74</v>
      </c>
      <c r="C293" s="880" t="str">
        <f t="shared" si="98"/>
        <v>1.A.3.e.ii Other (please specify) kt CO2-eq</v>
      </c>
      <c r="D293" s="883" t="s">
        <v>44</v>
      </c>
      <c r="E293" s="31" t="s">
        <v>104</v>
      </c>
      <c r="F293" s="64"/>
      <c r="G293" s="31" t="str">
        <f>$G$61</f>
        <v xml:space="preserve">   Elsewhere</v>
      </c>
      <c r="H293" s="64"/>
      <c r="I293" s="175"/>
      <c r="J293" s="175"/>
      <c r="K293" s="175"/>
      <c r="L293" s="175"/>
      <c r="M293" s="175"/>
      <c r="N293" s="175"/>
      <c r="O293" s="175"/>
      <c r="P293" s="175"/>
      <c r="Q293" s="175"/>
      <c r="R293" s="175"/>
      <c r="S293" s="175"/>
      <c r="T293" s="175"/>
      <c r="U293" s="175"/>
      <c r="V293" s="175"/>
      <c r="W293" s="175"/>
      <c r="X293" s="706">
        <v>4.483371851762822</v>
      </c>
      <c r="Y293" s="31">
        <v>4.0015336822316279</v>
      </c>
      <c r="Z293" s="31">
        <v>4.4294712673155363</v>
      </c>
      <c r="AA293" s="31">
        <v>6.5923309848282692</v>
      </c>
      <c r="AB293" s="31">
        <v>6.1330904189270887</v>
      </c>
      <c r="AC293" s="31">
        <v>6.1686401510315658</v>
      </c>
      <c r="AD293" s="31">
        <v>11.900024260795965</v>
      </c>
      <c r="AE293" s="31">
        <v>2.2445402549661475</v>
      </c>
      <c r="AF293" s="31">
        <v>2.1563569105643312</v>
      </c>
      <c r="AG293" s="31">
        <v>2.656281959596086</v>
      </c>
      <c r="AH293" s="31">
        <v>2.6970690270675708</v>
      </c>
      <c r="AI293" s="31">
        <v>2.623367200927845</v>
      </c>
      <c r="AJ293" s="31">
        <v>2.7262755946259087</v>
      </c>
      <c r="AK293" s="31">
        <v>2.1445223403672902</v>
      </c>
      <c r="AL293" s="31">
        <v>1.7160782082004176</v>
      </c>
      <c r="AM293" s="31">
        <v>2.2857798028873417</v>
      </c>
      <c r="AN293" s="177">
        <v>3.1134635327355329</v>
      </c>
      <c r="AO293" s="177">
        <v>1.2077272315541543</v>
      </c>
      <c r="AP293" s="177">
        <v>7.6520022844189489E-2</v>
      </c>
      <c r="AQ293" s="177">
        <v>1.0154674500138514</v>
      </c>
      <c r="AR293" s="177">
        <v>4.8689694268622775E-2</v>
      </c>
      <c r="AS293" s="12"/>
      <c r="AT293" s="12"/>
      <c r="AU293" s="12"/>
      <c r="AV293" s="12"/>
      <c r="AW293" s="689"/>
      <c r="AX293" s="12"/>
      <c r="AY293" s="12"/>
      <c r="AZ293" s="12"/>
      <c r="BA293" s="12"/>
      <c r="BB293" s="791"/>
      <c r="BC293" s="12"/>
      <c r="BD293" s="12"/>
      <c r="BE293" s="12"/>
      <c r="BF293" s="12"/>
      <c r="BG293" s="12"/>
      <c r="BH293" s="12"/>
      <c r="BI293" s="12"/>
      <c r="BJ293" s="12"/>
      <c r="BK293" s="12"/>
      <c r="BL293" s="12"/>
      <c r="BM293" s="12"/>
      <c r="BN293" s="12"/>
      <c r="BO293" s="12"/>
      <c r="BP293" s="12"/>
      <c r="BQ293" s="12"/>
      <c r="BR293" s="12"/>
      <c r="BS293" s="12"/>
      <c r="BT293" s="12"/>
      <c r="BU293" s="12"/>
      <c r="BV293" s="12"/>
    </row>
    <row r="294" spans="1:74" s="84" customFormat="1" ht="17.399999999999999" customHeight="1" x14ac:dyDescent="0.4">
      <c r="A294" s="1081"/>
      <c r="B294" s="843" t="s">
        <v>82</v>
      </c>
      <c r="C294" s="880" t="str">
        <f t="shared" si="98"/>
        <v>ESD Other</v>
      </c>
      <c r="D294" s="890"/>
      <c r="E294" s="11" t="s">
        <v>23</v>
      </c>
      <c r="F294" s="64"/>
      <c r="G294" s="11" t="s">
        <v>164</v>
      </c>
      <c r="H294" s="64"/>
      <c r="I294" s="174"/>
      <c r="J294" s="174"/>
      <c r="K294" s="174"/>
      <c r="L294" s="174"/>
      <c r="M294" s="174"/>
      <c r="N294" s="174"/>
      <c r="O294" s="174"/>
      <c r="P294" s="174"/>
      <c r="Q294" s="174"/>
      <c r="R294" s="174"/>
      <c r="S294" s="174"/>
      <c r="T294" s="174"/>
      <c r="U294" s="174"/>
      <c r="V294" s="174"/>
      <c r="W294" s="174"/>
      <c r="X294" s="704">
        <f>X295-SUM(X284:X290)</f>
        <v>328.99265389554239</v>
      </c>
      <c r="Y294" s="11">
        <f>Y295-SUM(Y284:Y290)</f>
        <v>372.43160312998862</v>
      </c>
      <c r="Z294" s="11">
        <f t="shared" ref="Z294:AP294" si="101">Z295-SUM(Z284:Z290)</f>
        <v>380.92267909253496</v>
      </c>
      <c r="AA294" s="11">
        <f t="shared" si="101"/>
        <v>325.62972744419949</v>
      </c>
      <c r="AB294" s="11">
        <f t="shared" si="101"/>
        <v>223.10394809378067</v>
      </c>
      <c r="AC294" s="11">
        <f t="shared" si="101"/>
        <v>185.70657104547217</v>
      </c>
      <c r="AD294" s="11">
        <f t="shared" si="101"/>
        <v>183.64846136650294</v>
      </c>
      <c r="AE294" s="11">
        <f t="shared" si="101"/>
        <v>148.97198170176216</v>
      </c>
      <c r="AF294" s="11">
        <f t="shared" si="101"/>
        <v>137.5208442595067</v>
      </c>
      <c r="AG294" s="11">
        <f t="shared" si="101"/>
        <v>112.97057422471971</v>
      </c>
      <c r="AH294" s="11">
        <f t="shared" si="101"/>
        <v>143.20493448525804</v>
      </c>
      <c r="AI294" s="11">
        <f t="shared" si="101"/>
        <v>133.60988212512802</v>
      </c>
      <c r="AJ294" s="11">
        <f t="shared" si="101"/>
        <v>117.88436555171302</v>
      </c>
      <c r="AK294" s="11">
        <f t="shared" si="101"/>
        <v>133.68604086384221</v>
      </c>
      <c r="AL294" s="11">
        <f t="shared" si="101"/>
        <v>138.10072413938542</v>
      </c>
      <c r="AM294" s="11">
        <f t="shared" si="101"/>
        <v>111.27149993018793</v>
      </c>
      <c r="AN294" s="11">
        <f t="shared" si="101"/>
        <v>116.01405614466512</v>
      </c>
      <c r="AO294" s="11">
        <f t="shared" si="101"/>
        <v>183.27492512750359</v>
      </c>
      <c r="AP294" s="11">
        <f t="shared" si="101"/>
        <v>142.04508981765503</v>
      </c>
      <c r="AQ294" s="11">
        <f t="shared" ref="AQ294:AR294" si="102">AQ295-SUM(AQ284:AQ290)</f>
        <v>167.61824781278528</v>
      </c>
      <c r="AR294" s="11">
        <f t="shared" si="102"/>
        <v>144.31484060428602</v>
      </c>
      <c r="AS294" s="616"/>
      <c r="AT294" s="12"/>
      <c r="AU294" s="12"/>
      <c r="AV294" s="12"/>
      <c r="AW294" s="696"/>
      <c r="AX294" s="12"/>
      <c r="AY294" s="12"/>
      <c r="AZ294" s="12"/>
      <c r="BA294" s="12"/>
      <c r="BB294" s="791"/>
      <c r="BC294" s="12"/>
      <c r="BD294" s="12"/>
      <c r="BE294" s="12"/>
      <c r="BF294" s="12"/>
      <c r="BG294" s="12"/>
      <c r="BH294" s="12"/>
      <c r="BI294" s="12"/>
      <c r="BJ294" s="12"/>
      <c r="BK294" s="12"/>
      <c r="BL294" s="12"/>
      <c r="BM294" s="12"/>
      <c r="BN294" s="12"/>
      <c r="BO294" s="12"/>
      <c r="BP294" s="12"/>
      <c r="BQ294" s="12"/>
      <c r="BR294" s="12"/>
      <c r="BS294" s="12"/>
      <c r="BT294" s="12"/>
      <c r="BU294" s="12"/>
      <c r="BV294" s="12"/>
    </row>
    <row r="295" spans="1:74" s="63" customFormat="1" ht="17.399999999999999" customHeight="1" x14ac:dyDescent="0.4">
      <c r="A295" s="861"/>
      <c r="B295" s="843" t="s">
        <v>188</v>
      </c>
      <c r="C295" s="880" t="str">
        <f t="shared" si="98"/>
        <v>ESR Emissionskt CO2eq</v>
      </c>
      <c r="D295" s="889" t="s">
        <v>44</v>
      </c>
      <c r="E295" s="14" t="s">
        <v>117</v>
      </c>
      <c r="F295" s="89"/>
      <c r="G295" s="14"/>
      <c r="H295" s="89"/>
      <c r="I295" s="176"/>
      <c r="J295" s="176"/>
      <c r="K295" s="176"/>
      <c r="L295" s="176"/>
      <c r="M295" s="176"/>
      <c r="N295" s="176"/>
      <c r="O295" s="176"/>
      <c r="P295" s="176"/>
      <c r="Q295" s="176"/>
      <c r="R295" s="176"/>
      <c r="S295" s="176"/>
      <c r="T295" s="176"/>
      <c r="U295" s="176"/>
      <c r="V295" s="176"/>
      <c r="W295" s="176"/>
      <c r="X295" s="691">
        <v>3228.5965871427361</v>
      </c>
      <c r="Y295" s="14">
        <v>3363.7287976236048</v>
      </c>
      <c r="Z295" s="14">
        <v>3536.286607648171</v>
      </c>
      <c r="AA295" s="14">
        <v>3397.2861026619589</v>
      </c>
      <c r="AB295" s="14">
        <v>3263.008863574878</v>
      </c>
      <c r="AC295" s="14">
        <v>3147.6181696061976</v>
      </c>
      <c r="AD295" s="14">
        <v>3037.8934469959686</v>
      </c>
      <c r="AE295" s="14">
        <v>2957.5163356270209</v>
      </c>
      <c r="AF295" s="14">
        <v>2943.5585810018592</v>
      </c>
      <c r="AG295" s="14">
        <v>2993.4234080880137</v>
      </c>
      <c r="AH295" s="14">
        <v>3006.1037985559756</v>
      </c>
      <c r="AI295" s="14">
        <v>2991.5872022970257</v>
      </c>
      <c r="AJ295" s="14">
        <v>3020.7467870404589</v>
      </c>
      <c r="AK295" s="14">
        <v>3059.815806866392</v>
      </c>
      <c r="AL295" s="14">
        <v>2974.9796223986791</v>
      </c>
      <c r="AM295" s="14">
        <v>2820.131659639927</v>
      </c>
      <c r="AN295" s="14">
        <v>2875.4348828600796</v>
      </c>
      <c r="AO295" s="14">
        <v>2884.6971737777612</v>
      </c>
      <c r="AP295" s="14">
        <v>2815.3721469736865</v>
      </c>
      <c r="AQ295" s="14">
        <v>2872.5978441319312</v>
      </c>
      <c r="AR295" s="14">
        <v>2793.7564234823058</v>
      </c>
      <c r="AS295" s="12"/>
      <c r="AT295" s="12"/>
      <c r="AU295" s="12"/>
      <c r="AV295" s="12"/>
      <c r="AW295" s="689"/>
      <c r="AX295" s="12"/>
      <c r="AY295" s="12"/>
      <c r="AZ295" s="12"/>
      <c r="BA295" s="12"/>
      <c r="BB295" s="791"/>
      <c r="BC295" s="12"/>
      <c r="BD295" s="12"/>
      <c r="BE295" s="12"/>
      <c r="BF295" s="12"/>
      <c r="BG295" s="12"/>
      <c r="BH295" s="12"/>
      <c r="BI295" s="12"/>
      <c r="BJ295" s="12"/>
      <c r="BK295" s="12"/>
      <c r="BL295" s="12"/>
      <c r="BM295" s="12"/>
      <c r="BN295" s="12"/>
      <c r="BO295" s="12"/>
      <c r="BP295" s="12"/>
      <c r="BQ295" s="12"/>
      <c r="BR295" s="12"/>
      <c r="BS295" s="12"/>
      <c r="BT295" s="12"/>
      <c r="BU295" s="12"/>
      <c r="BV295" s="12"/>
    </row>
    <row r="296" spans="1:74" s="182" customFormat="1" ht="19.2" customHeight="1" x14ac:dyDescent="0.4">
      <c r="A296" s="1132" t="s">
        <v>383</v>
      </c>
      <c r="B296" s="895"/>
      <c r="C296" s="904"/>
      <c r="D296" s="895"/>
      <c r="E296" s="159" t="s">
        <v>323</v>
      </c>
      <c r="F296" s="1037"/>
      <c r="G296" s="159"/>
      <c r="H296" s="1037"/>
      <c r="I296" s="181"/>
      <c r="J296" s="181"/>
      <c r="K296" s="181"/>
      <c r="L296" s="181"/>
      <c r="M296" s="181"/>
      <c r="N296" s="181"/>
      <c r="O296" s="181"/>
      <c r="P296" s="181"/>
      <c r="Q296" s="181"/>
      <c r="R296" s="181"/>
      <c r="S296" s="181"/>
      <c r="T296" s="181"/>
      <c r="U296" s="181"/>
      <c r="V296" s="181"/>
      <c r="W296" s="181"/>
      <c r="X296" s="82">
        <f>X295-X284-X285-X286-X287</f>
        <v>742.32031739776471</v>
      </c>
      <c r="Y296" s="159">
        <f t="shared" ref="Y296:AP296" si="103">Y295-Y284-Y285-Y286-Y287</f>
        <v>782.43192395487813</v>
      </c>
      <c r="Z296" s="159">
        <f t="shared" si="103"/>
        <v>813.80861156698472</v>
      </c>
      <c r="AA296" s="159">
        <f t="shared" si="103"/>
        <v>788.92393594987618</v>
      </c>
      <c r="AB296" s="159">
        <f t="shared" si="103"/>
        <v>620.11408324291324</v>
      </c>
      <c r="AC296" s="159">
        <f t="shared" si="103"/>
        <v>603.70679033720216</v>
      </c>
      <c r="AD296" s="159">
        <f t="shared" si="103"/>
        <v>605.08046469310432</v>
      </c>
      <c r="AE296" s="159">
        <f t="shared" si="103"/>
        <v>563.36047904659506</v>
      </c>
      <c r="AF296" s="159">
        <f t="shared" si="103"/>
        <v>579.96038563080492</v>
      </c>
      <c r="AG296" s="159">
        <f t="shared" si="103"/>
        <v>600.81933517347238</v>
      </c>
      <c r="AH296" s="159">
        <f t="shared" si="103"/>
        <v>588.42227777400137</v>
      </c>
      <c r="AI296" s="159">
        <f t="shared" si="103"/>
        <v>605.19695858465855</v>
      </c>
      <c r="AJ296" s="159">
        <f t="shared" si="103"/>
        <v>572.43810028461928</v>
      </c>
      <c r="AK296" s="159">
        <f t="shared" si="103"/>
        <v>590.80460061430995</v>
      </c>
      <c r="AL296" s="159">
        <f t="shared" si="103"/>
        <v>594.75511008330955</v>
      </c>
      <c r="AM296" s="159">
        <f t="shared" si="103"/>
        <v>549.70929237794712</v>
      </c>
      <c r="AN296" s="159">
        <f t="shared" si="103"/>
        <v>505.00966136793625</v>
      </c>
      <c r="AO296" s="159">
        <f t="shared" si="103"/>
        <v>553.86267241575911</v>
      </c>
      <c r="AP296" s="159">
        <f t="shared" si="103"/>
        <v>518.15260110887357</v>
      </c>
      <c r="AQ296" s="159">
        <f t="shared" ref="AQ296:AR296" si="104">AQ295-AQ284-AQ285-AQ286-AQ287</f>
        <v>575.35208700933572</v>
      </c>
      <c r="AR296" s="159">
        <f t="shared" si="104"/>
        <v>541.05224792588001</v>
      </c>
      <c r="AS296" s="170"/>
      <c r="AT296" s="170"/>
      <c r="AU296" s="170"/>
      <c r="AV296" s="170"/>
      <c r="AW296" s="690"/>
      <c r="AX296" s="170"/>
      <c r="AY296" s="170"/>
      <c r="AZ296" s="170"/>
      <c r="BA296" s="170"/>
      <c r="BB296" s="792"/>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row>
    <row r="297" spans="1:74" s="65" customFormat="1" ht="34.799999999999997" x14ac:dyDescent="0.4">
      <c r="A297" s="858"/>
      <c r="B297" s="839"/>
      <c r="C297" s="869" t="s">
        <v>44</v>
      </c>
      <c r="D297" s="884"/>
      <c r="E297" s="627" t="str">
        <f>$E$14</f>
        <v>Losunarspá: Sviðsmynd byggð á aðgerðum stjórnvalda</v>
      </c>
      <c r="F297" s="1035"/>
      <c r="G297" s="627" t="str">
        <f>$G$14</f>
        <v>Emission Projections: Government Policy-Based Scenario</v>
      </c>
      <c r="H297" s="1035"/>
      <c r="I297" s="67"/>
      <c r="J297" s="67"/>
      <c r="K297" s="67"/>
      <c r="L297" s="67"/>
      <c r="M297" s="67"/>
      <c r="N297" s="67"/>
      <c r="O297" s="67"/>
      <c r="P297" s="67"/>
      <c r="Q297" s="67"/>
      <c r="R297" s="67"/>
      <c r="S297" s="67"/>
      <c r="T297" s="67"/>
      <c r="U297" s="67"/>
      <c r="V297" s="67"/>
      <c r="W297" s="67"/>
      <c r="X297" s="1308"/>
      <c r="Y297" s="83"/>
      <c r="Z297" s="83"/>
      <c r="AA297" s="83"/>
      <c r="AB297" s="83"/>
      <c r="AC297" s="83"/>
      <c r="AD297" s="83"/>
      <c r="AE297" s="83"/>
      <c r="AF297" s="83"/>
      <c r="AG297" s="83"/>
      <c r="AH297" s="83"/>
      <c r="AI297" s="83"/>
      <c r="AJ297" s="83"/>
      <c r="AK297" s="83"/>
      <c r="AL297" s="83"/>
      <c r="AM297" s="83"/>
      <c r="AN297" s="83"/>
      <c r="AO297" s="84"/>
      <c r="AP297" s="613"/>
      <c r="AQ297" s="980"/>
      <c r="AR297" s="612"/>
      <c r="AS297" s="84"/>
      <c r="AT297" s="84"/>
      <c r="AU297" s="84"/>
      <c r="AV297" s="84"/>
      <c r="AW297" s="979">
        <f>AW302/AR288-1</f>
        <v>-0.66852057290321387</v>
      </c>
      <c r="AX297" s="84"/>
      <c r="AY297" s="84"/>
      <c r="AZ297" s="84"/>
      <c r="BA297" s="84"/>
      <c r="BB297" s="796"/>
      <c r="BC297" s="84"/>
      <c r="BD297" s="84"/>
      <c r="BE297" s="84"/>
      <c r="BF297" s="84"/>
      <c r="BG297" s="84"/>
      <c r="BH297" s="84"/>
      <c r="BI297" s="84"/>
      <c r="BJ297" s="84"/>
      <c r="BK297" s="84"/>
      <c r="BL297" s="84"/>
      <c r="BM297" s="84"/>
      <c r="BN297" s="84"/>
      <c r="BO297" s="84"/>
      <c r="BP297" s="84"/>
      <c r="BQ297" s="84"/>
      <c r="BR297" s="84"/>
      <c r="BS297" s="84"/>
      <c r="BT297" s="84"/>
      <c r="BU297" s="84"/>
      <c r="BV297" s="84"/>
    </row>
    <row r="298" spans="1:74" s="1131" customFormat="1" ht="17.399999999999999" customHeight="1" x14ac:dyDescent="0.4">
      <c r="A298" s="1095"/>
      <c r="B298" s="845" t="s">
        <v>47</v>
      </c>
      <c r="C298" s="866" t="str">
        <f t="shared" ref="C298" si="105">B298&amp;" "&amp;D298</f>
        <v>1.A.3.b Road transportationkt CO2-eq WEM</v>
      </c>
      <c r="D298" s="891" t="s">
        <v>377</v>
      </c>
      <c r="E298" s="11" t="s">
        <v>6</v>
      </c>
      <c r="F298" s="1013"/>
      <c r="G298" s="11" t="str">
        <f>$G$55</f>
        <v>Road Transport</v>
      </c>
      <c r="H298" s="1013"/>
      <c r="I298" s="174"/>
      <c r="J298" s="174"/>
      <c r="K298" s="174"/>
      <c r="L298" s="174"/>
      <c r="M298" s="174"/>
      <c r="N298" s="174"/>
      <c r="O298" s="174"/>
      <c r="P298" s="174"/>
      <c r="Q298" s="174"/>
      <c r="R298" s="174"/>
      <c r="S298" s="174"/>
      <c r="T298" s="174"/>
      <c r="U298" s="174"/>
      <c r="V298" s="174"/>
      <c r="W298" s="174"/>
      <c r="X298" s="791"/>
      <c r="Y298" s="12"/>
      <c r="Z298" s="12"/>
      <c r="AA298" s="12"/>
      <c r="AB298" s="12"/>
      <c r="AC298" s="12"/>
      <c r="AD298" s="12"/>
      <c r="AE298" s="12"/>
      <c r="AF298" s="12"/>
      <c r="AG298" s="12"/>
      <c r="AH298" s="12"/>
      <c r="AI298" s="12"/>
      <c r="AJ298" s="12"/>
      <c r="AK298" s="12"/>
      <c r="AL298" s="12"/>
      <c r="AM298" s="12"/>
      <c r="AN298" s="12"/>
      <c r="AO298" s="12"/>
      <c r="AP298" s="161"/>
      <c r="AQ298" s="161"/>
      <c r="AR298" s="168">
        <f t="shared" ref="AR298:AR310" si="106">AR284</f>
        <v>917.25938476071508</v>
      </c>
      <c r="AS298" s="11">
        <v>894.16858535493168</v>
      </c>
      <c r="AT298" s="11">
        <v>870.22479903083979</v>
      </c>
      <c r="AU298" s="11">
        <v>845.91238091292894</v>
      </c>
      <c r="AV298" s="11">
        <v>817.6525413115495</v>
      </c>
      <c r="AW298" s="704">
        <v>786.22470235126434</v>
      </c>
      <c r="AX298" s="11">
        <v>757.39829911249035</v>
      </c>
      <c r="AY298" s="11">
        <v>725.32892966217446</v>
      </c>
      <c r="AZ298" s="11">
        <v>690.18087660199603</v>
      </c>
      <c r="BA298" s="11">
        <v>652.75395563730922</v>
      </c>
      <c r="BB298" s="704">
        <v>612.60303096660596</v>
      </c>
      <c r="BC298" s="11">
        <v>570.4163418619097</v>
      </c>
      <c r="BD298" s="11">
        <v>527.06377528525559</v>
      </c>
      <c r="BE298" s="11">
        <v>483.44336831068188</v>
      </c>
      <c r="BF298" s="11">
        <v>440.03318556197161</v>
      </c>
      <c r="BG298" s="11">
        <v>397.26191468225403</v>
      </c>
      <c r="BH298" s="11">
        <v>357.80086294977031</v>
      </c>
      <c r="BI298" s="11">
        <v>319.59252785708031</v>
      </c>
      <c r="BJ298" s="11">
        <v>282.81482924416576</v>
      </c>
      <c r="BK298" s="11">
        <v>247.93516723089152</v>
      </c>
      <c r="BL298" s="11">
        <v>218.07988990579847</v>
      </c>
      <c r="BM298" s="11">
        <v>189.97248428195772</v>
      </c>
      <c r="BN298" s="11">
        <v>163.48770402889318</v>
      </c>
      <c r="BO298" s="11">
        <v>138.58302115112616</v>
      </c>
      <c r="BP298" s="11">
        <v>115.35138850036425</v>
      </c>
      <c r="BQ298" s="11">
        <v>93.925949690402206</v>
      </c>
      <c r="BR298" s="11">
        <v>74.175334108306487</v>
      </c>
      <c r="BS298" s="11">
        <v>56.137514907950695</v>
      </c>
      <c r="BT298" s="11">
        <v>45.240065452722774</v>
      </c>
      <c r="BU298" s="11">
        <v>37.071678126572976</v>
      </c>
      <c r="BV298" s="11">
        <v>29.970905709588795</v>
      </c>
    </row>
    <row r="299" spans="1:74" s="68" customFormat="1" ht="17.399999999999999" customHeight="1" x14ac:dyDescent="0.4">
      <c r="A299" s="859"/>
      <c r="B299" s="843" t="s">
        <v>46</v>
      </c>
      <c r="C299" s="866" t="str">
        <f t="shared" ref="C299:C308" si="107">B299&amp;" "&amp;D299</f>
        <v>1.A.4.c.iii Agriculture/Forestry/Fishing - Fishing kt CO2-eq WEM</v>
      </c>
      <c r="D299" s="891" t="s">
        <v>377</v>
      </c>
      <c r="E299" s="11" t="s">
        <v>5</v>
      </c>
      <c r="F299" s="1013"/>
      <c r="G299" s="11" t="str">
        <f>$G$54</f>
        <v>Fishing</v>
      </c>
      <c r="H299" s="1013"/>
      <c r="I299" s="174"/>
      <c r="J299" s="174"/>
      <c r="K299" s="174"/>
      <c r="L299" s="174"/>
      <c r="M299" s="174"/>
      <c r="N299" s="174"/>
      <c r="O299" s="174"/>
      <c r="P299" s="174"/>
      <c r="Q299" s="174"/>
      <c r="R299" s="174"/>
      <c r="S299" s="174"/>
      <c r="T299" s="174"/>
      <c r="U299" s="174"/>
      <c r="V299" s="174"/>
      <c r="W299" s="174"/>
      <c r="X299" s="791"/>
      <c r="Y299" s="12"/>
      <c r="Z299" s="12"/>
      <c r="AA299" s="12"/>
      <c r="AB299" s="12"/>
      <c r="AC299" s="12"/>
      <c r="AD299" s="12"/>
      <c r="AE299" s="12"/>
      <c r="AF299" s="12"/>
      <c r="AG299" s="12"/>
      <c r="AH299" s="12"/>
      <c r="AI299" s="12"/>
      <c r="AJ299" s="12"/>
      <c r="AK299" s="12"/>
      <c r="AL299" s="12"/>
      <c r="AM299" s="12"/>
      <c r="AN299" s="12"/>
      <c r="AO299" s="12"/>
      <c r="AP299" s="161"/>
      <c r="AQ299" s="161"/>
      <c r="AR299" s="168">
        <f t="shared" si="106"/>
        <v>482.07188977314064</v>
      </c>
      <c r="AS299" s="11">
        <v>473.86931408770465</v>
      </c>
      <c r="AT299" s="11">
        <v>467.20070580291656</v>
      </c>
      <c r="AU299" s="11">
        <v>467.02341537743479</v>
      </c>
      <c r="AV299" s="11">
        <v>462.57871330702324</v>
      </c>
      <c r="AW299" s="704">
        <v>456.4668591654148</v>
      </c>
      <c r="AX299" s="11">
        <v>450.04195860010151</v>
      </c>
      <c r="AY299" s="11">
        <v>445.1793264985896</v>
      </c>
      <c r="AZ299" s="11">
        <v>440.77740550576431</v>
      </c>
      <c r="BA299" s="11">
        <v>436.75852524633831</v>
      </c>
      <c r="BB299" s="704">
        <v>432.85529070911139</v>
      </c>
      <c r="BC299" s="11">
        <v>428.78787295729438</v>
      </c>
      <c r="BD299" s="11">
        <v>424.36043717317062</v>
      </c>
      <c r="BE299" s="11">
        <v>419.44248839254652</v>
      </c>
      <c r="BF299" s="11">
        <v>413.88800711766459</v>
      </c>
      <c r="BG299" s="11">
        <v>407.55722446584582</v>
      </c>
      <c r="BH299" s="11">
        <v>400.30107302193113</v>
      </c>
      <c r="BI299" s="11">
        <v>391.90209849476474</v>
      </c>
      <c r="BJ299" s="11">
        <v>382.14288167478105</v>
      </c>
      <c r="BK299" s="11">
        <v>370.77494193886446</v>
      </c>
      <c r="BL299" s="11">
        <v>357.54984237338471</v>
      </c>
      <c r="BM299" s="11">
        <v>342.23474115145405</v>
      </c>
      <c r="BN299" s="11">
        <v>324.7212507604001</v>
      </c>
      <c r="BO299" s="11">
        <v>304.82014698320813</v>
      </c>
      <c r="BP299" s="11">
        <v>282.67814418396694</v>
      </c>
      <c r="BQ299" s="11">
        <v>258.25342862871889</v>
      </c>
      <c r="BR299" s="11">
        <v>232.36694979853797</v>
      </c>
      <c r="BS299" s="11">
        <v>217.85517255941198</v>
      </c>
      <c r="BT299" s="11">
        <v>200.68033613184312</v>
      </c>
      <c r="BU299" s="11">
        <v>185.68910552441412</v>
      </c>
      <c r="BV299" s="11">
        <v>175.77592762189366</v>
      </c>
    </row>
    <row r="300" spans="1:74" s="68" customFormat="1" ht="17.399999999999999" customHeight="1" x14ac:dyDescent="0.4">
      <c r="A300" s="859"/>
      <c r="B300" s="843" t="s">
        <v>40</v>
      </c>
      <c r="C300" s="866" t="str">
        <f t="shared" si="107"/>
        <v>3. Agriculturekt CO2-eq WEM</v>
      </c>
      <c r="D300" s="891" t="s">
        <v>377</v>
      </c>
      <c r="E300" s="11" t="s">
        <v>2</v>
      </c>
      <c r="F300" s="1036"/>
      <c r="G300" s="11" t="s">
        <v>111</v>
      </c>
      <c r="H300" s="1036"/>
      <c r="I300" s="174"/>
      <c r="J300" s="174"/>
      <c r="K300" s="174"/>
      <c r="L300" s="174"/>
      <c r="M300" s="174"/>
      <c r="N300" s="174"/>
      <c r="O300" s="174"/>
      <c r="P300" s="174"/>
      <c r="Q300" s="174"/>
      <c r="R300" s="174"/>
      <c r="S300" s="174"/>
      <c r="T300" s="174"/>
      <c r="U300" s="174"/>
      <c r="V300" s="174"/>
      <c r="W300" s="174"/>
      <c r="X300" s="791"/>
      <c r="Y300" s="12"/>
      <c r="Z300" s="12"/>
      <c r="AA300" s="12"/>
      <c r="AB300" s="12"/>
      <c r="AC300" s="12"/>
      <c r="AD300" s="12"/>
      <c r="AE300" s="12"/>
      <c r="AF300" s="12"/>
      <c r="AG300" s="12"/>
      <c r="AH300" s="12"/>
      <c r="AI300" s="12"/>
      <c r="AJ300" s="12"/>
      <c r="AK300" s="12"/>
      <c r="AL300" s="12"/>
      <c r="AM300" s="12"/>
      <c r="AN300" s="12"/>
      <c r="AO300" s="12"/>
      <c r="AP300" s="161"/>
      <c r="AQ300" s="161"/>
      <c r="AR300" s="168">
        <f t="shared" si="106"/>
        <v>668.34042724521601</v>
      </c>
      <c r="AS300" s="11">
        <v>668.54619208554391</v>
      </c>
      <c r="AT300" s="11">
        <v>656.60904705946609</v>
      </c>
      <c r="AU300" s="11">
        <v>654.4797775470571</v>
      </c>
      <c r="AV300" s="11">
        <v>652.13871239495563</v>
      </c>
      <c r="AW300" s="704">
        <v>650.31376558660054</v>
      </c>
      <c r="AX300" s="11">
        <v>647.73784360894774</v>
      </c>
      <c r="AY300" s="11">
        <v>646.27685346823318</v>
      </c>
      <c r="AZ300" s="11">
        <v>644.11762677097295</v>
      </c>
      <c r="BA300" s="11">
        <v>642.14365199552128</v>
      </c>
      <c r="BB300" s="704">
        <v>639.5022120899896</v>
      </c>
      <c r="BC300" s="11">
        <v>636.83164857070074</v>
      </c>
      <c r="BD300" s="11">
        <v>634.43854896594473</v>
      </c>
      <c r="BE300" s="11">
        <v>631.91661035643847</v>
      </c>
      <c r="BF300" s="11">
        <v>629.54618905941356</v>
      </c>
      <c r="BG300" s="11">
        <v>627.72066486934909</v>
      </c>
      <c r="BH300" s="11">
        <v>625.60652900788568</v>
      </c>
      <c r="BI300" s="11">
        <v>623.23429645427916</v>
      </c>
      <c r="BJ300" s="11">
        <v>621.85847520718653</v>
      </c>
      <c r="BK300" s="11">
        <v>620.90416111902175</v>
      </c>
      <c r="BL300" s="11">
        <v>617.63373278586982</v>
      </c>
      <c r="BM300" s="11">
        <v>615.35622173838874</v>
      </c>
      <c r="BN300" s="11">
        <v>612.44123308516635</v>
      </c>
      <c r="BO300" s="11">
        <v>609.69795998429311</v>
      </c>
      <c r="BP300" s="11">
        <v>606.31781037972337</v>
      </c>
      <c r="BQ300" s="11">
        <v>602.92761187344752</v>
      </c>
      <c r="BR300" s="11">
        <v>599.7859546805546</v>
      </c>
      <c r="BS300" s="11">
        <v>596.52483307963314</v>
      </c>
      <c r="BT300" s="11">
        <v>593.39974597286641</v>
      </c>
      <c r="BU300" s="11">
        <v>590.76915468008087</v>
      </c>
      <c r="BV300" s="11">
        <v>587.87045907676656</v>
      </c>
    </row>
    <row r="301" spans="1:74" s="68" customFormat="1" ht="17.399999999999999" customHeight="1" x14ac:dyDescent="0.4">
      <c r="A301" s="859"/>
      <c r="B301" s="843" t="s">
        <v>64</v>
      </c>
      <c r="C301" s="866" t="str">
        <f t="shared" si="107"/>
        <v>5.A Solid waste disposalkt CO2-eq WEM</v>
      </c>
      <c r="D301" s="891" t="s">
        <v>377</v>
      </c>
      <c r="E301" s="11" t="s">
        <v>24</v>
      </c>
      <c r="F301" s="1036"/>
      <c r="G301" s="11" t="s">
        <v>123</v>
      </c>
      <c r="H301" s="1036"/>
      <c r="I301" s="174"/>
      <c r="J301" s="174"/>
      <c r="K301" s="174"/>
      <c r="L301" s="174"/>
      <c r="M301" s="174"/>
      <c r="N301" s="174"/>
      <c r="O301" s="174"/>
      <c r="P301" s="174"/>
      <c r="Q301" s="174"/>
      <c r="R301" s="174"/>
      <c r="S301" s="174"/>
      <c r="T301" s="174"/>
      <c r="U301" s="174"/>
      <c r="V301" s="174"/>
      <c r="W301" s="174"/>
      <c r="X301" s="791"/>
      <c r="Y301" s="12"/>
      <c r="Z301" s="12"/>
      <c r="AA301" s="12"/>
      <c r="AB301" s="12"/>
      <c r="AC301" s="12"/>
      <c r="AD301" s="12"/>
      <c r="AE301" s="12"/>
      <c r="AF301" s="12"/>
      <c r="AG301" s="12"/>
      <c r="AH301" s="12"/>
      <c r="AI301" s="12"/>
      <c r="AJ301" s="12"/>
      <c r="AK301" s="12"/>
      <c r="AL301" s="12"/>
      <c r="AM301" s="12"/>
      <c r="AN301" s="12"/>
      <c r="AO301" s="12"/>
      <c r="AP301" s="161"/>
      <c r="AQ301" s="161"/>
      <c r="AR301" s="168">
        <f t="shared" si="106"/>
        <v>185.03247377735417</v>
      </c>
      <c r="AS301" s="11">
        <v>171.31904905630469</v>
      </c>
      <c r="AT301" s="11">
        <v>158.84251370288135</v>
      </c>
      <c r="AU301" s="11">
        <v>147.55225632502373</v>
      </c>
      <c r="AV301" s="11">
        <v>132.55179549482176</v>
      </c>
      <c r="AW301" s="704">
        <v>119.76810307975666</v>
      </c>
      <c r="AX301" s="11">
        <v>108.86960495124578</v>
      </c>
      <c r="AY301" s="11">
        <v>99.208261775340873</v>
      </c>
      <c r="AZ301" s="11">
        <v>90.65056432607156</v>
      </c>
      <c r="BA301" s="11">
        <v>82.772328587101725</v>
      </c>
      <c r="BB301" s="704">
        <v>75.996575943509157</v>
      </c>
      <c r="BC301" s="11">
        <v>70.16803013532919</v>
      </c>
      <c r="BD301" s="11">
        <v>65.26977570881796</v>
      </c>
      <c r="BE301" s="11">
        <v>61.196245454932786</v>
      </c>
      <c r="BF301" s="11">
        <v>56.419679366036917</v>
      </c>
      <c r="BG301" s="11">
        <v>51.982755790689254</v>
      </c>
      <c r="BH301" s="11">
        <v>48.009192387623116</v>
      </c>
      <c r="BI301" s="11">
        <v>44.441106989772869</v>
      </c>
      <c r="BJ301" s="11">
        <v>41.229045868042888</v>
      </c>
      <c r="BK301" s="11">
        <v>38.330654757061637</v>
      </c>
      <c r="BL301" s="11">
        <v>35.709567280563412</v>
      </c>
      <c r="BM301" s="11">
        <v>33.33447461794875</v>
      </c>
      <c r="BN301" s="11">
        <v>31.178346313864854</v>
      </c>
      <c r="BO301" s="11">
        <v>29.217777173448376</v>
      </c>
      <c r="BP301" s="11">
        <v>27.432439379004055</v>
      </c>
      <c r="BQ301" s="11">
        <v>25.80462245219449</v>
      </c>
      <c r="BR301" s="11">
        <v>24.318846588025547</v>
      </c>
      <c r="BS301" s="11">
        <v>22.961537301747502</v>
      </c>
      <c r="BT301" s="11">
        <v>21.720751339318248</v>
      </c>
      <c r="BU301" s="11">
        <v>20.585945474521356</v>
      </c>
      <c r="BV301" s="11">
        <v>19.547781207924992</v>
      </c>
    </row>
    <row r="302" spans="1:74" s="68" customFormat="1" ht="17.399999999999999" customHeight="1" x14ac:dyDescent="0.4">
      <c r="A302" s="859"/>
      <c r="B302" s="843" t="s">
        <v>56</v>
      </c>
      <c r="C302" s="866" t="str">
        <f t="shared" si="107"/>
        <v>2.F Product uses as substitutes for ODSkt CO2-eq WEM</v>
      </c>
      <c r="D302" s="891" t="s">
        <v>377</v>
      </c>
      <c r="E302" s="11" t="s">
        <v>32</v>
      </c>
      <c r="F302" s="1036"/>
      <c r="G302" s="11" t="s">
        <v>119</v>
      </c>
      <c r="H302" s="1036"/>
      <c r="I302" s="174"/>
      <c r="J302" s="174"/>
      <c r="K302" s="174"/>
      <c r="L302" s="174"/>
      <c r="M302" s="174"/>
      <c r="N302" s="174"/>
      <c r="O302" s="174"/>
      <c r="P302" s="174"/>
      <c r="Q302" s="174"/>
      <c r="R302" s="174"/>
      <c r="S302" s="174"/>
      <c r="T302" s="174"/>
      <c r="U302" s="174"/>
      <c r="V302" s="174"/>
      <c r="W302" s="174"/>
      <c r="X302" s="791"/>
      <c r="Y302" s="12"/>
      <c r="Z302" s="12"/>
      <c r="AA302" s="12"/>
      <c r="AB302" s="12"/>
      <c r="AC302" s="12"/>
      <c r="AD302" s="12"/>
      <c r="AE302" s="12"/>
      <c r="AF302" s="12"/>
      <c r="AG302" s="12"/>
      <c r="AH302" s="12"/>
      <c r="AI302" s="12"/>
      <c r="AJ302" s="12"/>
      <c r="AK302" s="12"/>
      <c r="AL302" s="12"/>
      <c r="AM302" s="12"/>
      <c r="AN302" s="12"/>
      <c r="AO302" s="12"/>
      <c r="AP302" s="161"/>
      <c r="AQ302" s="161"/>
      <c r="AR302" s="168">
        <f t="shared" si="106"/>
        <v>105.65811164441938</v>
      </c>
      <c r="AS302" s="11">
        <v>83.939356753838709</v>
      </c>
      <c r="AT302" s="11">
        <v>89.415585047430667</v>
      </c>
      <c r="AU302" s="11">
        <v>43.40472654430534</v>
      </c>
      <c r="AV302" s="11">
        <v>28.595701920471573</v>
      </c>
      <c r="AW302" s="704">
        <v>35.0234903160204</v>
      </c>
      <c r="AX302" s="11">
        <v>17.253346767164082</v>
      </c>
      <c r="AY302" s="11">
        <v>18.009768312055179</v>
      </c>
      <c r="AZ302" s="11">
        <v>24.723980294032209</v>
      </c>
      <c r="BA302" s="11">
        <v>14.28694724185282</v>
      </c>
      <c r="BB302" s="704">
        <v>8.928626854732892</v>
      </c>
      <c r="BC302" s="11">
        <v>9.4331922594709194</v>
      </c>
      <c r="BD302" s="11">
        <v>9.5333161155516493</v>
      </c>
      <c r="BE302" s="11">
        <v>9.5715916183487302</v>
      </c>
      <c r="BF302" s="11">
        <v>9.9802058863014569</v>
      </c>
      <c r="BG302" s="11">
        <v>10.355069313046386</v>
      </c>
      <c r="BH302" s="11">
        <v>10.708405895263525</v>
      </c>
      <c r="BI302" s="11">
        <v>10.805327528923454</v>
      </c>
      <c r="BJ302" s="11">
        <v>10.913704570280276</v>
      </c>
      <c r="BK302" s="11">
        <v>10.997738385977007</v>
      </c>
      <c r="BL302" s="11">
        <v>11.06138423454213</v>
      </c>
      <c r="BM302" s="11">
        <v>11.190983630440373</v>
      </c>
      <c r="BN302" s="11">
        <v>11.51212490345165</v>
      </c>
      <c r="BO302" s="11">
        <v>11.29416127575184</v>
      </c>
      <c r="BP302" s="11">
        <v>11.200240169565182</v>
      </c>
      <c r="BQ302" s="11">
        <v>11.197445895681135</v>
      </c>
      <c r="BR302" s="11">
        <v>11.042578034809972</v>
      </c>
      <c r="BS302" s="11">
        <v>10.912000717167739</v>
      </c>
      <c r="BT302" s="11">
        <v>10.818690929789394</v>
      </c>
      <c r="BU302" s="11">
        <v>10.774930000739039</v>
      </c>
      <c r="BV302" s="11">
        <v>10.767865370664548</v>
      </c>
    </row>
    <row r="303" spans="1:74" s="68" customFormat="1" ht="17.399999999999999" customHeight="1" x14ac:dyDescent="0.4">
      <c r="A303" s="859"/>
      <c r="B303" s="843" t="s">
        <v>51</v>
      </c>
      <c r="C303" s="866" t="str">
        <f t="shared" si="107"/>
        <v>1.B.2.d Geothermal Energykt CO2-eq WEM</v>
      </c>
      <c r="D303" s="891" t="s">
        <v>377</v>
      </c>
      <c r="E303" s="11" t="s">
        <v>10</v>
      </c>
      <c r="F303" s="1013"/>
      <c r="G303" s="11" t="s">
        <v>121</v>
      </c>
      <c r="H303" s="1013"/>
      <c r="I303" s="174"/>
      <c r="J303" s="174"/>
      <c r="K303" s="174"/>
      <c r="L303" s="174"/>
      <c r="M303" s="174"/>
      <c r="N303" s="174"/>
      <c r="O303" s="174"/>
      <c r="P303" s="174"/>
      <c r="Q303" s="174"/>
      <c r="R303" s="174"/>
      <c r="S303" s="174"/>
      <c r="T303" s="174"/>
      <c r="U303" s="174"/>
      <c r="V303" s="174"/>
      <c r="W303" s="174"/>
      <c r="X303" s="791"/>
      <c r="Y303" s="12"/>
      <c r="Z303" s="12"/>
      <c r="AA303" s="12"/>
      <c r="AB303" s="12"/>
      <c r="AC303" s="12"/>
      <c r="AD303" s="12"/>
      <c r="AE303" s="12"/>
      <c r="AF303" s="12"/>
      <c r="AG303" s="12"/>
      <c r="AH303" s="12"/>
      <c r="AI303" s="12"/>
      <c r="AJ303" s="12"/>
      <c r="AK303" s="12"/>
      <c r="AL303" s="12"/>
      <c r="AM303" s="12"/>
      <c r="AN303" s="12"/>
      <c r="AO303" s="12"/>
      <c r="AP303" s="161"/>
      <c r="AQ303" s="161"/>
      <c r="AR303" s="168">
        <f t="shared" si="106"/>
        <v>214.07609476451782</v>
      </c>
      <c r="AS303" s="11">
        <v>200.08931930544816</v>
      </c>
      <c r="AT303" s="11">
        <v>200.11599544820228</v>
      </c>
      <c r="AU303" s="11">
        <v>200.10978527269327</v>
      </c>
      <c r="AV303" s="11">
        <v>200.10503334211458</v>
      </c>
      <c r="AW303" s="704">
        <v>187.31167135433674</v>
      </c>
      <c r="AX303" s="11">
        <v>185.34216199016637</v>
      </c>
      <c r="AY303" s="11">
        <v>185.34168800695139</v>
      </c>
      <c r="AZ303" s="11">
        <v>185.34264000619092</v>
      </c>
      <c r="BA303" s="11">
        <v>185.34216333443621</v>
      </c>
      <c r="BB303" s="704">
        <v>185.34216378252611</v>
      </c>
      <c r="BC303" s="11">
        <v>185.34232237438439</v>
      </c>
      <c r="BD303" s="11">
        <v>185.34221649711557</v>
      </c>
      <c r="BE303" s="11">
        <v>185.34223421800871</v>
      </c>
      <c r="BF303" s="11">
        <v>185.34225769650291</v>
      </c>
      <c r="BG303" s="11">
        <v>185.34223613720908</v>
      </c>
      <c r="BH303" s="11">
        <v>185.3422426839069</v>
      </c>
      <c r="BI303" s="11">
        <v>185.34224550587297</v>
      </c>
      <c r="BJ303" s="11">
        <v>185.34224144232965</v>
      </c>
      <c r="BK303" s="11">
        <v>185.34224321070317</v>
      </c>
      <c r="BL303" s="11">
        <v>185.34224338630193</v>
      </c>
      <c r="BM303" s="11">
        <v>185.3422426797782</v>
      </c>
      <c r="BN303" s="11">
        <v>185.3422430922611</v>
      </c>
      <c r="BO303" s="11">
        <v>185.34224305278045</v>
      </c>
      <c r="BP303" s="11">
        <v>185.3422429416066</v>
      </c>
      <c r="BQ303" s="11">
        <v>185.34224302888268</v>
      </c>
      <c r="BR303" s="11">
        <v>185.34224300775654</v>
      </c>
      <c r="BS303" s="11">
        <v>185.34224299274857</v>
      </c>
      <c r="BT303" s="11">
        <v>185.34224300979596</v>
      </c>
      <c r="BU303" s="11">
        <v>185.34224300343371</v>
      </c>
      <c r="BV303" s="11">
        <v>185.34224300199278</v>
      </c>
    </row>
    <row r="304" spans="1:74" s="68" customFormat="1" ht="17.399999999999999" customHeight="1" x14ac:dyDescent="0.4">
      <c r="A304" s="859"/>
      <c r="B304" s="843" t="s">
        <v>81</v>
      </c>
      <c r="C304" s="866" t="str">
        <f t="shared" si="107"/>
        <v>Mobile Machinery WEM</v>
      </c>
      <c r="D304" s="891" t="s">
        <v>377</v>
      </c>
      <c r="E304" s="11" t="s">
        <v>9</v>
      </c>
      <c r="F304" s="1013" t="s">
        <v>44</v>
      </c>
      <c r="G304" s="11" t="s">
        <v>122</v>
      </c>
      <c r="H304" s="1013" t="s">
        <v>44</v>
      </c>
      <c r="I304" s="174"/>
      <c r="J304" s="174"/>
      <c r="K304" s="174"/>
      <c r="L304" s="174"/>
      <c r="M304" s="174"/>
      <c r="N304" s="174"/>
      <c r="O304" s="174"/>
      <c r="P304" s="174"/>
      <c r="Q304" s="174"/>
      <c r="R304" s="174"/>
      <c r="S304" s="174"/>
      <c r="T304" s="174"/>
      <c r="U304" s="174"/>
      <c r="V304" s="174"/>
      <c r="W304" s="174"/>
      <c r="X304" s="791"/>
      <c r="Y304" s="12"/>
      <c r="Z304" s="12"/>
      <c r="AA304" s="12"/>
      <c r="AB304" s="12"/>
      <c r="AC304" s="12"/>
      <c r="AD304" s="12"/>
      <c r="AE304" s="12"/>
      <c r="AF304" s="12"/>
      <c r="AG304" s="12"/>
      <c r="AH304" s="12"/>
      <c r="AI304" s="12"/>
      <c r="AJ304" s="12"/>
      <c r="AK304" s="12"/>
      <c r="AL304" s="12"/>
      <c r="AM304" s="12"/>
      <c r="AN304" s="12"/>
      <c r="AO304" s="12"/>
      <c r="AP304" s="161"/>
      <c r="AQ304" s="161"/>
      <c r="AR304" s="168">
        <f t="shared" si="106"/>
        <v>77.003200912657135</v>
      </c>
      <c r="AS304" s="11">
        <f t="shared" ref="AS304:BA304" si="108">SUM(AS305:AS307)</f>
        <v>81.702333842233713</v>
      </c>
      <c r="AT304" s="11">
        <f t="shared" si="108"/>
        <v>84.306045442719949</v>
      </c>
      <c r="AU304" s="11">
        <f t="shared" si="108"/>
        <v>84.646265105608947</v>
      </c>
      <c r="AV304" s="11">
        <f t="shared" si="108"/>
        <v>84.391526256694931</v>
      </c>
      <c r="AW304" s="704">
        <f t="shared" si="108"/>
        <v>84.624152775755988</v>
      </c>
      <c r="AX304" s="11">
        <f t="shared" si="108"/>
        <v>85.088104941370801</v>
      </c>
      <c r="AY304" s="11">
        <f t="shared" si="108"/>
        <v>85.281255870015386</v>
      </c>
      <c r="AZ304" s="11">
        <f t="shared" si="108"/>
        <v>85.404119806920264</v>
      </c>
      <c r="BA304" s="11">
        <f t="shared" si="108"/>
        <v>85.43222250992261</v>
      </c>
      <c r="BB304" s="704">
        <f t="shared" ref="BB304:BO304" si="109">SUM(BB305:BB307)</f>
        <v>85.275751366965295</v>
      </c>
      <c r="BC304" s="11">
        <f t="shared" si="109"/>
        <v>85.02538339503225</v>
      </c>
      <c r="BD304" s="11">
        <f t="shared" si="109"/>
        <v>84.530231301975178</v>
      </c>
      <c r="BE304" s="11">
        <f t="shared" si="109"/>
        <v>83.835944898316228</v>
      </c>
      <c r="BF304" s="11">
        <f t="shared" si="109"/>
        <v>82.948604630454327</v>
      </c>
      <c r="BG304" s="11">
        <f t="shared" si="109"/>
        <v>81.724112387839853</v>
      </c>
      <c r="BH304" s="11">
        <f t="shared" si="109"/>
        <v>80.22374253159478</v>
      </c>
      <c r="BI304" s="11">
        <f t="shared" si="109"/>
        <v>78.313475676339948</v>
      </c>
      <c r="BJ304" s="11">
        <f t="shared" si="109"/>
        <v>76.057402339672649</v>
      </c>
      <c r="BK304" s="11">
        <f t="shared" si="109"/>
        <v>73.449950270563193</v>
      </c>
      <c r="BL304" s="11">
        <f t="shared" si="109"/>
        <v>70.403514708034464</v>
      </c>
      <c r="BM304" s="11">
        <f t="shared" si="109"/>
        <v>66.97314873915073</v>
      </c>
      <c r="BN304" s="11">
        <f t="shared" si="109"/>
        <v>63.147917086299728</v>
      </c>
      <c r="BO304" s="11">
        <f t="shared" si="109"/>
        <v>59.048923592147815</v>
      </c>
      <c r="BP304" s="11">
        <f t="shared" ref="BP304:BU304" si="110">SUM(BP305:BP307)</f>
        <v>54.721254548823872</v>
      </c>
      <c r="BQ304" s="11">
        <f t="shared" si="110"/>
        <v>50.231045372831574</v>
      </c>
      <c r="BR304" s="11">
        <f t="shared" si="110"/>
        <v>40.653889798626899</v>
      </c>
      <c r="BS304" s="11">
        <f t="shared" si="110"/>
        <v>36.475635520827723</v>
      </c>
      <c r="BT304" s="11">
        <f t="shared" si="110"/>
        <v>32.489126554652735</v>
      </c>
      <c r="BU304" s="11">
        <f t="shared" si="110"/>
        <v>28.763222747455618</v>
      </c>
      <c r="BV304" s="11">
        <f t="shared" ref="BV304" si="111">SUM(BV305:BV307)</f>
        <v>25.341442398861652</v>
      </c>
    </row>
    <row r="305" spans="1:74" s="85" customFormat="1" ht="17.399999999999999" customHeight="1" x14ac:dyDescent="0.4">
      <c r="A305" s="860"/>
      <c r="B305" s="843" t="s">
        <v>50</v>
      </c>
      <c r="C305" s="866" t="str">
        <f t="shared" si="107"/>
        <v>1.A.2.g.vii Off road vehicles and other machinerykt CO2-eq WEM</v>
      </c>
      <c r="D305" s="891" t="s">
        <v>377</v>
      </c>
      <c r="E305" s="31" t="s">
        <v>102</v>
      </c>
      <c r="F305" s="1014"/>
      <c r="G305" s="31" t="str">
        <f>$G$59</f>
        <v xml:space="preserve">   In Constructions</v>
      </c>
      <c r="H305" s="1014"/>
      <c r="I305" s="175"/>
      <c r="J305" s="175"/>
      <c r="K305" s="175"/>
      <c r="L305" s="175"/>
      <c r="M305" s="175"/>
      <c r="N305" s="175"/>
      <c r="O305" s="175"/>
      <c r="P305" s="175"/>
      <c r="Q305" s="175"/>
      <c r="R305" s="175"/>
      <c r="S305" s="175"/>
      <c r="T305" s="175"/>
      <c r="U305" s="175"/>
      <c r="V305" s="175"/>
      <c r="W305" s="175"/>
      <c r="X305" s="791"/>
      <c r="Y305" s="12"/>
      <c r="Z305" s="12"/>
      <c r="AA305" s="12"/>
      <c r="AB305" s="12"/>
      <c r="AC305" s="12"/>
      <c r="AD305" s="12"/>
      <c r="AE305" s="12"/>
      <c r="AF305" s="12"/>
      <c r="AG305" s="12"/>
      <c r="AH305" s="12"/>
      <c r="AI305" s="12"/>
      <c r="AJ305" s="12"/>
      <c r="AK305" s="12"/>
      <c r="AL305" s="12"/>
      <c r="AM305" s="12"/>
      <c r="AN305" s="12"/>
      <c r="AO305" s="12"/>
      <c r="AP305" s="161"/>
      <c r="AQ305" s="161"/>
      <c r="AR305" s="168">
        <f t="shared" si="106"/>
        <v>54.166925310289855</v>
      </c>
      <c r="AS305" s="31">
        <v>53.852478056963498</v>
      </c>
      <c r="AT305" s="31">
        <v>56.093907847949303</v>
      </c>
      <c r="AU305" s="31">
        <v>56.006139850203617</v>
      </c>
      <c r="AV305" s="31">
        <v>55.364910269399367</v>
      </c>
      <c r="AW305" s="706">
        <v>55.220862078932136</v>
      </c>
      <c r="AX305" s="31">
        <v>55.229306021227671</v>
      </c>
      <c r="AY305" s="31">
        <v>55.004837360019607</v>
      </c>
      <c r="AZ305" s="31">
        <v>54.758850622216933</v>
      </c>
      <c r="BA305" s="31">
        <v>54.448312670589303</v>
      </c>
      <c r="BB305" s="706">
        <v>54.011294856356606</v>
      </c>
      <c r="BC305" s="31">
        <v>53.554765876253448</v>
      </c>
      <c r="BD305" s="31">
        <v>52.931142687582977</v>
      </c>
      <c r="BE305" s="31">
        <v>52.199760489191384</v>
      </c>
      <c r="BF305" s="31">
        <v>51.380406128196164</v>
      </c>
      <c r="BG305" s="31">
        <v>50.352870112432008</v>
      </c>
      <c r="BH305" s="31">
        <v>49.191801925024642</v>
      </c>
      <c r="BI305" s="31">
        <v>47.770325943681996</v>
      </c>
      <c r="BJ305" s="31">
        <v>46.171693448294448</v>
      </c>
      <c r="BK305" s="31">
        <v>44.39735300653242</v>
      </c>
      <c r="BL305" s="31">
        <v>42.366152159880919</v>
      </c>
      <c r="BM305" s="31">
        <v>40.128361274926007</v>
      </c>
      <c r="BN305" s="31">
        <v>37.664032490551037</v>
      </c>
      <c r="BO305" s="31">
        <v>35.088548976285502</v>
      </c>
      <c r="BP305" s="31">
        <v>32.397453847436871</v>
      </c>
      <c r="BQ305" s="31">
        <v>29.622332354862529</v>
      </c>
      <c r="BR305" s="31">
        <v>26.885098212235949</v>
      </c>
      <c r="BS305" s="31">
        <v>24.206251829488068</v>
      </c>
      <c r="BT305" s="31">
        <v>21.638975185341174</v>
      </c>
      <c r="BU305" s="31">
        <v>19.229829642246877</v>
      </c>
      <c r="BV305" s="31">
        <v>17.010217485311944</v>
      </c>
    </row>
    <row r="306" spans="1:74" s="85" customFormat="1" ht="17.399999999999999" customHeight="1" x14ac:dyDescent="0.4">
      <c r="A306" s="860"/>
      <c r="B306" s="843" t="s">
        <v>75</v>
      </c>
      <c r="C306" s="866" t="str">
        <f t="shared" si="107"/>
        <v>1.A.4.c.ii Agriculture/Forestry/Fishing - Off-road vehicles and other machinerykt CO2-eq WEM</v>
      </c>
      <c r="D306" s="891" t="s">
        <v>377</v>
      </c>
      <c r="E306" s="31" t="s">
        <v>103</v>
      </c>
      <c r="F306" s="1017"/>
      <c r="G306" s="31" t="str">
        <f>$G$60</f>
        <v xml:space="preserve">   In Agriculture</v>
      </c>
      <c r="H306" s="1017"/>
      <c r="I306" s="175"/>
      <c r="J306" s="175"/>
      <c r="K306" s="175"/>
      <c r="L306" s="175"/>
      <c r="M306" s="175"/>
      <c r="N306" s="175"/>
      <c r="O306" s="175"/>
      <c r="P306" s="175"/>
      <c r="Q306" s="175"/>
      <c r="R306" s="175"/>
      <c r="S306" s="175"/>
      <c r="T306" s="175"/>
      <c r="U306" s="175"/>
      <c r="V306" s="175"/>
      <c r="W306" s="175"/>
      <c r="X306" s="791"/>
      <c r="Y306" s="12"/>
      <c r="Z306" s="12"/>
      <c r="AA306" s="12"/>
      <c r="AB306" s="12"/>
      <c r="AC306" s="12"/>
      <c r="AD306" s="12"/>
      <c r="AE306" s="12"/>
      <c r="AF306" s="12"/>
      <c r="AG306" s="12"/>
      <c r="AH306" s="12"/>
      <c r="AI306" s="12"/>
      <c r="AJ306" s="12"/>
      <c r="AK306" s="12"/>
      <c r="AL306" s="12"/>
      <c r="AM306" s="12"/>
      <c r="AN306" s="12"/>
      <c r="AO306" s="12"/>
      <c r="AP306" s="161"/>
      <c r="AQ306" s="161"/>
      <c r="AR306" s="168">
        <f t="shared" si="106"/>
        <v>22.787585908098663</v>
      </c>
      <c r="AS306" s="31">
        <v>27.849855785270211</v>
      </c>
      <c r="AT306" s="31">
        <v>28.212137594770645</v>
      </c>
      <c r="AU306" s="31">
        <v>28.64012525540533</v>
      </c>
      <c r="AV306" s="31">
        <v>29.026615987295571</v>
      </c>
      <c r="AW306" s="706">
        <v>29.403290696823856</v>
      </c>
      <c r="AX306" s="31">
        <v>29.858798920143123</v>
      </c>
      <c r="AY306" s="31">
        <v>30.276418509995779</v>
      </c>
      <c r="AZ306" s="31">
        <v>30.645269184703334</v>
      </c>
      <c r="BA306" s="31">
        <v>30.983909839333304</v>
      </c>
      <c r="BB306" s="706">
        <v>31.264456510608696</v>
      </c>
      <c r="BC306" s="31">
        <v>31.470617518778802</v>
      </c>
      <c r="BD306" s="31">
        <v>31.599088614392205</v>
      </c>
      <c r="BE306" s="31">
        <v>31.636184409124848</v>
      </c>
      <c r="BF306" s="31">
        <v>31.56819850225817</v>
      </c>
      <c r="BG306" s="31">
        <v>31.371242275407848</v>
      </c>
      <c r="BH306" s="31">
        <v>31.031940606570135</v>
      </c>
      <c r="BI306" s="31">
        <v>30.543149732657959</v>
      </c>
      <c r="BJ306" s="31">
        <v>29.885708891378204</v>
      </c>
      <c r="BK306" s="31">
        <v>29.052597264030769</v>
      </c>
      <c r="BL306" s="31">
        <v>28.037362548153549</v>
      </c>
      <c r="BM306" s="31">
        <v>26.844787464224716</v>
      </c>
      <c r="BN306" s="31">
        <v>25.483884595748687</v>
      </c>
      <c r="BO306" s="31">
        <v>23.96037461586231</v>
      </c>
      <c r="BP306" s="31">
        <v>22.323800701387</v>
      </c>
      <c r="BQ306" s="31">
        <v>20.608713017969045</v>
      </c>
      <c r="BR306" s="31">
        <v>13.768791586390948</v>
      </c>
      <c r="BS306" s="31">
        <v>12.269383691339657</v>
      </c>
      <c r="BT306" s="31">
        <v>10.850151369311561</v>
      </c>
      <c r="BU306" s="31">
        <v>9.5333931052087415</v>
      </c>
      <c r="BV306" s="31">
        <v>8.3312249135497076</v>
      </c>
    </row>
    <row r="307" spans="1:74" s="1131" customFormat="1" ht="17.399999999999999" customHeight="1" x14ac:dyDescent="0.4">
      <c r="A307" s="1095"/>
      <c r="B307" s="843" t="s">
        <v>74</v>
      </c>
      <c r="C307" s="866" t="str">
        <f t="shared" si="107"/>
        <v>1.A.3.e.ii Other (please specify) kt CO2-eq WEM</v>
      </c>
      <c r="D307" s="891" t="s">
        <v>377</v>
      </c>
      <c r="E307" s="31" t="s">
        <v>104</v>
      </c>
      <c r="F307" s="1017"/>
      <c r="G307" s="31" t="str">
        <f>$G$61</f>
        <v xml:space="preserve">   Elsewhere</v>
      </c>
      <c r="H307" s="1017"/>
      <c r="I307" s="175"/>
      <c r="J307" s="175"/>
      <c r="K307" s="175"/>
      <c r="L307" s="175"/>
      <c r="M307" s="175"/>
      <c r="N307" s="175"/>
      <c r="O307" s="175"/>
      <c r="P307" s="175"/>
      <c r="Q307" s="175"/>
      <c r="R307" s="175"/>
      <c r="S307" s="175"/>
      <c r="T307" s="175"/>
      <c r="U307" s="175"/>
      <c r="V307" s="175"/>
      <c r="W307" s="175"/>
      <c r="X307" s="791"/>
      <c r="Y307" s="12"/>
      <c r="Z307" s="12"/>
      <c r="AA307" s="12"/>
      <c r="AB307" s="12"/>
      <c r="AC307" s="12"/>
      <c r="AD307" s="12"/>
      <c r="AE307" s="12"/>
      <c r="AF307" s="12"/>
      <c r="AG307" s="12"/>
      <c r="AH307" s="12"/>
      <c r="AI307" s="12"/>
      <c r="AJ307" s="12"/>
      <c r="AK307" s="12"/>
      <c r="AL307" s="12"/>
      <c r="AM307" s="12"/>
      <c r="AN307" s="12"/>
      <c r="AO307" s="12"/>
      <c r="AP307" s="161"/>
      <c r="AQ307" s="161"/>
      <c r="AR307" s="168">
        <f t="shared" si="106"/>
        <v>4.8689694268622775E-2</v>
      </c>
      <c r="AS307" s="172">
        <v>0</v>
      </c>
      <c r="AT307" s="172">
        <v>0</v>
      </c>
      <c r="AU307" s="172">
        <v>0</v>
      </c>
      <c r="AV307" s="172">
        <v>0</v>
      </c>
      <c r="AW307" s="706">
        <v>0</v>
      </c>
      <c r="AX307" s="172">
        <v>0</v>
      </c>
      <c r="AY307" s="172">
        <v>0</v>
      </c>
      <c r="AZ307" s="172">
        <v>0</v>
      </c>
      <c r="BA307" s="172">
        <v>0</v>
      </c>
      <c r="BB307" s="706">
        <v>0</v>
      </c>
      <c r="BC307" s="172">
        <v>0</v>
      </c>
      <c r="BD307" s="172">
        <v>0</v>
      </c>
      <c r="BE307" s="172">
        <v>0</v>
      </c>
      <c r="BF307" s="172">
        <v>0</v>
      </c>
      <c r="BG307" s="172">
        <v>0</v>
      </c>
      <c r="BH307" s="172">
        <v>0</v>
      </c>
      <c r="BI307" s="172">
        <v>0</v>
      </c>
      <c r="BJ307" s="172">
        <v>0</v>
      </c>
      <c r="BK307" s="172">
        <v>0</v>
      </c>
      <c r="BL307" s="172">
        <v>0</v>
      </c>
      <c r="BM307" s="172">
        <v>0</v>
      </c>
      <c r="BN307" s="172">
        <v>0</v>
      </c>
      <c r="BO307" s="172">
        <v>0</v>
      </c>
      <c r="BP307" s="172">
        <v>0</v>
      </c>
      <c r="BQ307" s="172">
        <v>0</v>
      </c>
      <c r="BR307" s="172">
        <v>0</v>
      </c>
      <c r="BS307" s="172">
        <v>0</v>
      </c>
      <c r="BT307" s="172">
        <v>0</v>
      </c>
      <c r="BU307" s="172">
        <v>0</v>
      </c>
      <c r="BV307" s="172">
        <v>0</v>
      </c>
    </row>
    <row r="308" spans="1:74" s="84" customFormat="1" ht="17.399999999999999" customHeight="1" x14ac:dyDescent="0.4">
      <c r="A308" s="1081"/>
      <c r="B308" s="843" t="s">
        <v>82</v>
      </c>
      <c r="C308" s="866" t="str">
        <f t="shared" si="107"/>
        <v>ESD Other WEM</v>
      </c>
      <c r="D308" s="891" t="s">
        <v>377</v>
      </c>
      <c r="E308" s="11" t="s">
        <v>23</v>
      </c>
      <c r="F308" s="64"/>
      <c r="G308" s="11" t="s">
        <v>164</v>
      </c>
      <c r="H308" s="64"/>
      <c r="I308" s="174"/>
      <c r="J308" s="174"/>
      <c r="K308" s="174"/>
      <c r="L308" s="174"/>
      <c r="M308" s="174"/>
      <c r="N308" s="174"/>
      <c r="O308" s="174"/>
      <c r="P308" s="174"/>
      <c r="Q308" s="174"/>
      <c r="R308" s="174"/>
      <c r="S308" s="174"/>
      <c r="T308" s="174"/>
      <c r="U308" s="174"/>
      <c r="V308" s="174"/>
      <c r="W308" s="174"/>
      <c r="X308" s="791"/>
      <c r="Y308" s="12"/>
      <c r="Z308" s="12"/>
      <c r="AA308" s="12"/>
      <c r="AB308" s="12"/>
      <c r="AC308" s="12"/>
      <c r="AD308" s="12"/>
      <c r="AE308" s="12"/>
      <c r="AF308" s="12"/>
      <c r="AG308" s="12"/>
      <c r="AH308" s="12"/>
      <c r="AI308" s="12"/>
      <c r="AJ308" s="12"/>
      <c r="AK308" s="12"/>
      <c r="AL308" s="12"/>
      <c r="AM308" s="12"/>
      <c r="AN308" s="12"/>
      <c r="AO308" s="12"/>
      <c r="AP308" s="161"/>
      <c r="AQ308" s="161"/>
      <c r="AR308" s="168">
        <f t="shared" si="106"/>
        <v>144.31484060428602</v>
      </c>
      <c r="AS308" s="11">
        <f t="shared" ref="AS308:BA308" si="112">AS309-SUM(AS298,AS299:AS304)</f>
        <v>144.12065041244978</v>
      </c>
      <c r="AT308" s="11">
        <f t="shared" si="112"/>
        <v>148.70483231438493</v>
      </c>
      <c r="AU308" s="11">
        <f t="shared" si="112"/>
        <v>150.79701950262506</v>
      </c>
      <c r="AV308" s="11">
        <f t="shared" si="112"/>
        <v>146.85057515420931</v>
      </c>
      <c r="AW308" s="704">
        <f t="shared" si="112"/>
        <v>141.91468976051237</v>
      </c>
      <c r="AX308" s="11">
        <f t="shared" si="112"/>
        <v>137.72976294099544</v>
      </c>
      <c r="AY308" s="11">
        <f t="shared" si="112"/>
        <v>134.92348443038236</v>
      </c>
      <c r="AZ308" s="11">
        <f t="shared" si="112"/>
        <v>140.95157332626104</v>
      </c>
      <c r="BA308" s="11">
        <f t="shared" si="112"/>
        <v>140.27137025306911</v>
      </c>
      <c r="BB308" s="704">
        <f t="shared" ref="BB308:BO308" si="113">BB309-SUM(BB298,BB299:BB304)</f>
        <v>135.05679155200869</v>
      </c>
      <c r="BC308" s="11">
        <f t="shared" si="113"/>
        <v>134.31861760317065</v>
      </c>
      <c r="BD308" s="11">
        <f t="shared" si="113"/>
        <v>133.49843347250885</v>
      </c>
      <c r="BE308" s="11">
        <f t="shared" si="113"/>
        <v>132.79521322383448</v>
      </c>
      <c r="BF308" s="11">
        <f t="shared" si="113"/>
        <v>132.00917977146833</v>
      </c>
      <c r="BG308" s="11">
        <f t="shared" si="113"/>
        <v>131.11847630601255</v>
      </c>
      <c r="BH308" s="11">
        <f t="shared" si="113"/>
        <v>129.93431544129635</v>
      </c>
      <c r="BI308" s="11">
        <f t="shared" si="113"/>
        <v>128.73336585283459</v>
      </c>
      <c r="BJ308" s="11">
        <f t="shared" si="113"/>
        <v>127.52235910117065</v>
      </c>
      <c r="BK308" s="11">
        <f t="shared" si="113"/>
        <v>126.30484061729771</v>
      </c>
      <c r="BL308" s="11">
        <f t="shared" si="113"/>
        <v>125.05045636396585</v>
      </c>
      <c r="BM308" s="11">
        <f t="shared" si="113"/>
        <v>123.79136756564139</v>
      </c>
      <c r="BN308" s="11">
        <f t="shared" si="113"/>
        <v>122.5102666723044</v>
      </c>
      <c r="BO308" s="11">
        <f t="shared" si="113"/>
        <v>121.18458395244011</v>
      </c>
      <c r="BP308" s="11">
        <f t="shared" ref="BP308:BU308" si="114">BP309-SUM(BP298,BP299:BP304)</f>
        <v>119.78678264897167</v>
      </c>
      <c r="BQ308" s="11">
        <f t="shared" si="114"/>
        <v>118.10487474633555</v>
      </c>
      <c r="BR308" s="11">
        <f t="shared" si="114"/>
        <v>116.86199016469595</v>
      </c>
      <c r="BS308" s="11">
        <f t="shared" si="114"/>
        <v>115.60730201116394</v>
      </c>
      <c r="BT308" s="11">
        <f t="shared" si="114"/>
        <v>114.35775224471558</v>
      </c>
      <c r="BU308" s="11">
        <f t="shared" si="114"/>
        <v>113.11158412792588</v>
      </c>
      <c r="BV308" s="11">
        <f t="shared" ref="BV308" si="115">BV309-SUM(BV298,BV299:BV304)</f>
        <v>111.85163223706331</v>
      </c>
    </row>
    <row r="309" spans="1:74" s="63" customFormat="1" ht="17.399999999999999" customHeight="1" x14ac:dyDescent="0.4">
      <c r="A309" s="861"/>
      <c r="B309" s="843" t="s">
        <v>303</v>
      </c>
      <c r="C309" s="876" t="s">
        <v>303</v>
      </c>
      <c r="D309" s="890" t="s">
        <v>44</v>
      </c>
      <c r="E309" s="14" t="s">
        <v>117</v>
      </c>
      <c r="F309" s="89"/>
      <c r="G309" s="14"/>
      <c r="H309" s="89"/>
      <c r="I309" s="176"/>
      <c r="J309" s="176"/>
      <c r="K309" s="176"/>
      <c r="L309" s="176"/>
      <c r="M309" s="176"/>
      <c r="N309" s="176"/>
      <c r="O309" s="176"/>
      <c r="P309" s="176"/>
      <c r="Q309" s="176"/>
      <c r="R309" s="176"/>
      <c r="S309" s="176"/>
      <c r="T309" s="176"/>
      <c r="U309" s="176"/>
      <c r="V309" s="176"/>
      <c r="W309" s="176"/>
      <c r="X309" s="791"/>
      <c r="Y309" s="12"/>
      <c r="Z309" s="12"/>
      <c r="AA309" s="12"/>
      <c r="AB309" s="12"/>
      <c r="AC309" s="12"/>
      <c r="AD309" s="12"/>
      <c r="AE309" s="12"/>
      <c r="AF309" s="12"/>
      <c r="AG309" s="12"/>
      <c r="AH309" s="12"/>
      <c r="AI309" s="12"/>
      <c r="AJ309" s="12"/>
      <c r="AK309" s="12"/>
      <c r="AL309" s="12"/>
      <c r="AM309" s="12"/>
      <c r="AN309" s="12"/>
      <c r="AO309" s="12"/>
      <c r="AP309" s="161"/>
      <c r="AQ309" s="161"/>
      <c r="AR309" s="168">
        <f t="shared" si="106"/>
        <v>2793.7564234823058</v>
      </c>
      <c r="AS309" s="14">
        <v>2717.754800898455</v>
      </c>
      <c r="AT309" s="14">
        <v>2675.4195238488419</v>
      </c>
      <c r="AU309" s="14">
        <v>2593.9256265876775</v>
      </c>
      <c r="AV309" s="14">
        <v>2524.8645991818403</v>
      </c>
      <c r="AW309" s="691">
        <v>2461.6474343896616</v>
      </c>
      <c r="AX309" s="14">
        <v>2389.4610829124817</v>
      </c>
      <c r="AY309" s="14">
        <v>2339.5495680237423</v>
      </c>
      <c r="AZ309" s="14">
        <v>2302.1487866382095</v>
      </c>
      <c r="BA309" s="14">
        <v>2239.7611648055517</v>
      </c>
      <c r="BB309" s="691">
        <v>2175.5604432654491</v>
      </c>
      <c r="BC309" s="14">
        <v>2120.3234091572922</v>
      </c>
      <c r="BD309" s="14">
        <v>2064.0367345203399</v>
      </c>
      <c r="BE309" s="14">
        <v>2007.543696473108</v>
      </c>
      <c r="BF309" s="14">
        <v>1950.1673090898139</v>
      </c>
      <c r="BG309" s="14">
        <v>1893.062453952246</v>
      </c>
      <c r="BH309" s="14">
        <v>1837.9263639192718</v>
      </c>
      <c r="BI309" s="14">
        <v>1782.364444359868</v>
      </c>
      <c r="BJ309" s="14">
        <v>1727.8809394476295</v>
      </c>
      <c r="BK309" s="14">
        <v>1674.0396975303806</v>
      </c>
      <c r="BL309" s="14">
        <v>1620.8306310384608</v>
      </c>
      <c r="BM309" s="14">
        <v>1568.1956644047596</v>
      </c>
      <c r="BN309" s="14">
        <v>1514.3410859426413</v>
      </c>
      <c r="BO309" s="14">
        <v>1459.188817165196</v>
      </c>
      <c r="BP309" s="14">
        <v>1402.830302752026</v>
      </c>
      <c r="BQ309" s="14">
        <v>1345.7872216884941</v>
      </c>
      <c r="BR309" s="14">
        <v>1284.547786181314</v>
      </c>
      <c r="BS309" s="14">
        <v>1241.8162390906514</v>
      </c>
      <c r="BT309" s="14">
        <v>1204.0487116357042</v>
      </c>
      <c r="BU309" s="14">
        <v>1172.1078636851435</v>
      </c>
      <c r="BV309" s="14">
        <v>1146.4682566247563</v>
      </c>
    </row>
    <row r="310" spans="1:74" s="182" customFormat="1" ht="19.2" customHeight="1" x14ac:dyDescent="0.4">
      <c r="A310" s="1132" t="s">
        <v>383</v>
      </c>
      <c r="B310" s="895"/>
      <c r="C310" s="904"/>
      <c r="D310" s="895"/>
      <c r="E310" s="159" t="s">
        <v>44</v>
      </c>
      <c r="F310" s="1037"/>
      <c r="G310" s="159"/>
      <c r="H310" s="1037"/>
      <c r="I310" s="181"/>
      <c r="J310" s="181"/>
      <c r="K310" s="181"/>
      <c r="L310" s="181"/>
      <c r="M310" s="181"/>
      <c r="N310" s="181"/>
      <c r="O310" s="181"/>
      <c r="P310" s="181"/>
      <c r="Q310" s="181"/>
      <c r="R310" s="181"/>
      <c r="S310" s="181"/>
      <c r="T310" s="181"/>
      <c r="U310" s="181"/>
      <c r="V310" s="181"/>
      <c r="W310" s="181"/>
      <c r="X310" s="792"/>
      <c r="Y310" s="170"/>
      <c r="Z310" s="170"/>
      <c r="AA310" s="170"/>
      <c r="AB310" s="170"/>
      <c r="AC310" s="170"/>
      <c r="AD310" s="170"/>
      <c r="AE310" s="170"/>
      <c r="AF310" s="170"/>
      <c r="AG310" s="170"/>
      <c r="AH310" s="170"/>
      <c r="AI310" s="170"/>
      <c r="AJ310" s="170"/>
      <c r="AK310" s="170"/>
      <c r="AL310" s="170"/>
      <c r="AM310" s="170"/>
      <c r="AN310" s="170"/>
      <c r="AO310" s="170"/>
      <c r="AP310" s="170">
        <f>AP296</f>
        <v>518.15260110887357</v>
      </c>
      <c r="AQ310" s="170"/>
      <c r="AR310" s="170">
        <f t="shared" si="106"/>
        <v>541.05224792588001</v>
      </c>
      <c r="AS310" s="159">
        <f t="shared" ref="AS310:BA310" si="116">AS309-AS298-AS299-AS300-AS301</f>
        <v>509.85166031397011</v>
      </c>
      <c r="AT310" s="159">
        <f t="shared" si="116"/>
        <v>522.54245825273813</v>
      </c>
      <c r="AU310" s="159">
        <f t="shared" si="116"/>
        <v>478.95779642523297</v>
      </c>
      <c r="AV310" s="159">
        <f t="shared" si="116"/>
        <v>459.94283667349004</v>
      </c>
      <c r="AW310" s="159">
        <f t="shared" si="116"/>
        <v>448.87400420662539</v>
      </c>
      <c r="AX310" s="159">
        <f t="shared" si="116"/>
        <v>425.41337663969642</v>
      </c>
      <c r="AY310" s="159">
        <f t="shared" si="116"/>
        <v>423.55619661940403</v>
      </c>
      <c r="AZ310" s="159">
        <f t="shared" si="116"/>
        <v>436.42231343340455</v>
      </c>
      <c r="BA310" s="159">
        <f t="shared" si="116"/>
        <v>425.33270333928112</v>
      </c>
      <c r="BB310" s="159">
        <f t="shared" ref="BB310:BO310" si="117">BB309-BB298-BB299-BB300-BB301</f>
        <v>414.603333556233</v>
      </c>
      <c r="BC310" s="159">
        <f t="shared" si="117"/>
        <v>414.11951563205821</v>
      </c>
      <c r="BD310" s="159">
        <f t="shared" si="117"/>
        <v>412.90419738715104</v>
      </c>
      <c r="BE310" s="159">
        <f t="shared" si="117"/>
        <v>411.54498395850845</v>
      </c>
      <c r="BF310" s="159">
        <f t="shared" si="117"/>
        <v>410.28024798472734</v>
      </c>
      <c r="BG310" s="159">
        <f t="shared" si="117"/>
        <v>408.53989414410785</v>
      </c>
      <c r="BH310" s="159">
        <f t="shared" si="117"/>
        <v>406.20870655206147</v>
      </c>
      <c r="BI310" s="159">
        <f t="shared" si="117"/>
        <v>403.19441456397095</v>
      </c>
      <c r="BJ310" s="159">
        <f t="shared" si="117"/>
        <v>399.83570745345315</v>
      </c>
      <c r="BK310" s="159">
        <f t="shared" si="117"/>
        <v>396.09477248454129</v>
      </c>
      <c r="BL310" s="159">
        <f t="shared" si="117"/>
        <v>391.85759869284436</v>
      </c>
      <c r="BM310" s="159">
        <f t="shared" si="117"/>
        <v>387.29774261501024</v>
      </c>
      <c r="BN310" s="159">
        <f t="shared" si="117"/>
        <v>382.51255175431675</v>
      </c>
      <c r="BO310" s="159">
        <f t="shared" si="117"/>
        <v>376.86991187312032</v>
      </c>
      <c r="BP310" s="159">
        <f t="shared" ref="BP310:BU310" si="118">BP309-BP298-BP299-BP300-BP301</f>
        <v>371.05052030896746</v>
      </c>
      <c r="BQ310" s="159">
        <f t="shared" si="118"/>
        <v>364.87560904373106</v>
      </c>
      <c r="BR310" s="159">
        <f t="shared" si="118"/>
        <v>353.9007010058894</v>
      </c>
      <c r="BS310" s="159">
        <f t="shared" si="118"/>
        <v>348.33718124190807</v>
      </c>
      <c r="BT310" s="159">
        <f t="shared" si="118"/>
        <v>343.00781273895365</v>
      </c>
      <c r="BU310" s="159">
        <f t="shared" si="118"/>
        <v>337.99197987955409</v>
      </c>
      <c r="BV310" s="159">
        <f t="shared" ref="BV310" si="119">BV309-BV298-BV299-BV300-BV301</f>
        <v>333.30318300858238</v>
      </c>
    </row>
    <row r="311" spans="1:74" s="85" customFormat="1" ht="15" customHeight="1" x14ac:dyDescent="0.4">
      <c r="A311" s="860"/>
      <c r="B311" s="843"/>
      <c r="C311" s="869"/>
      <c r="D311" s="890"/>
      <c r="E311" s="35"/>
      <c r="F311" s="90"/>
      <c r="G311" s="35"/>
      <c r="H311" s="90"/>
      <c r="I311" s="18"/>
      <c r="J311" s="18"/>
      <c r="K311" s="18"/>
      <c r="L311" s="18"/>
      <c r="M311" s="18"/>
      <c r="N311" s="18"/>
      <c r="O311" s="18"/>
      <c r="P311" s="18"/>
      <c r="Q311" s="18"/>
      <c r="R311" s="18"/>
      <c r="S311" s="18"/>
      <c r="T311" s="18"/>
      <c r="U311" s="18"/>
      <c r="V311" s="18"/>
      <c r="W311" s="18"/>
      <c r="X311" s="82"/>
      <c r="Y311" s="35"/>
      <c r="Z311" s="35"/>
      <c r="AA311" s="35"/>
      <c r="AB311" s="35"/>
      <c r="AC311" s="35"/>
      <c r="AD311" s="35"/>
      <c r="AE311" s="35"/>
      <c r="AF311" s="35"/>
      <c r="AG311" s="35"/>
      <c r="AH311" s="35"/>
      <c r="AI311" s="35"/>
      <c r="AJ311" s="35"/>
      <c r="AK311" s="35"/>
      <c r="AL311" s="35"/>
      <c r="AM311" s="35"/>
      <c r="AN311" s="35"/>
      <c r="AO311" s="35"/>
      <c r="AP311" s="35"/>
      <c r="AQ311" s="35"/>
      <c r="AR311" s="69"/>
      <c r="AS311" s="982"/>
      <c r="AT311" s="982"/>
      <c r="AU311" s="982"/>
      <c r="AV311" s="982"/>
      <c r="AW311" s="982"/>
      <c r="AX311" s="982"/>
      <c r="AY311" s="982"/>
      <c r="AZ311" s="982"/>
      <c r="BA311" s="982"/>
      <c r="BB311" s="982"/>
      <c r="BC311" s="982"/>
      <c r="BD311" s="982"/>
      <c r="BE311" s="982"/>
      <c r="BF311" s="982"/>
      <c r="BG311" s="982"/>
      <c r="BH311" s="982"/>
      <c r="BI311" s="982"/>
      <c r="BJ311" s="982"/>
      <c r="BK311" s="982"/>
      <c r="BL311" s="982"/>
      <c r="BM311" s="982"/>
      <c r="BN311" s="982"/>
      <c r="BO311" s="982"/>
      <c r="BP311" s="982"/>
      <c r="BQ311" s="982"/>
      <c r="BR311" s="982"/>
      <c r="BS311" s="982"/>
      <c r="BT311" s="982"/>
      <c r="BU311" s="982"/>
      <c r="BV311" s="982"/>
    </row>
    <row r="312" spans="1:74" s="160" customFormat="1" ht="19.5" customHeight="1" x14ac:dyDescent="0.4">
      <c r="A312" s="862"/>
      <c r="B312" s="846"/>
      <c r="C312" s="881"/>
      <c r="D312" s="835"/>
      <c r="E312" s="150"/>
      <c r="F312" s="1038"/>
      <c r="G312" s="151"/>
      <c r="H312" s="1038"/>
      <c r="I312" s="40"/>
      <c r="J312" s="40"/>
      <c r="K312" s="40"/>
      <c r="L312" s="40"/>
      <c r="M312" s="40"/>
      <c r="N312" s="40"/>
      <c r="O312" s="40"/>
      <c r="P312" s="40"/>
      <c r="Q312" s="40"/>
      <c r="R312" s="40"/>
      <c r="S312" s="40"/>
      <c r="T312" s="40"/>
      <c r="U312" s="40"/>
      <c r="V312" s="40"/>
      <c r="W312" s="40"/>
      <c r="X312" s="1309"/>
      <c r="Y312" s="154"/>
      <c r="Z312" s="155"/>
      <c r="AA312" s="155"/>
      <c r="AB312" s="155"/>
      <c r="AC312" s="155"/>
      <c r="AD312" s="155"/>
      <c r="AE312" s="155"/>
      <c r="AF312" s="155"/>
      <c r="AG312" s="155"/>
      <c r="AH312" s="155"/>
      <c r="AI312" s="155"/>
      <c r="AJ312" s="155"/>
      <c r="AK312" s="155"/>
      <c r="AL312" s="155"/>
      <c r="AM312" s="155"/>
      <c r="AN312" s="156"/>
      <c r="AO312" s="157"/>
      <c r="AP312" s="156"/>
      <c r="AQ312" s="156"/>
      <c r="AR312" s="158"/>
      <c r="AS312" s="158"/>
      <c r="AT312" s="158"/>
      <c r="AU312" s="158"/>
      <c r="AV312" s="158"/>
      <c r="AW312" s="81"/>
      <c r="AX312" s="158"/>
      <c r="AY312" s="159"/>
      <c r="AZ312" s="152"/>
      <c r="BA312" s="152"/>
      <c r="BB312" s="794"/>
      <c r="BC312" s="152"/>
      <c r="BD312" s="152"/>
      <c r="BE312" s="152"/>
      <c r="BF312" s="152"/>
      <c r="BG312" s="152"/>
      <c r="BH312" s="152"/>
      <c r="BI312" s="152"/>
      <c r="BJ312" s="152"/>
      <c r="BK312" s="152"/>
      <c r="BL312" s="152"/>
      <c r="BM312" s="152"/>
      <c r="BN312" s="152"/>
      <c r="BO312" s="152"/>
      <c r="BP312" s="152"/>
      <c r="BQ312" s="152"/>
      <c r="BR312" s="152"/>
      <c r="BS312" s="152"/>
      <c r="BT312" s="152"/>
      <c r="BU312" s="152"/>
      <c r="BV312" s="152"/>
    </row>
    <row r="313" spans="1:74" s="1066" customFormat="1" ht="64.95" customHeight="1" x14ac:dyDescent="0.4">
      <c r="A313" s="859"/>
      <c r="B313" s="839" t="s">
        <v>83</v>
      </c>
      <c r="C313" s="876" t="s">
        <v>83</v>
      </c>
      <c r="D313" s="835"/>
      <c r="E313" s="1000" t="s">
        <v>33</v>
      </c>
      <c r="F313" s="1059" t="s">
        <v>394</v>
      </c>
      <c r="G313" s="1000" t="s">
        <v>33</v>
      </c>
      <c r="H313" s="1059" t="s">
        <v>475</v>
      </c>
      <c r="I313" s="1060" t="s">
        <v>44</v>
      </c>
      <c r="J313" s="1060"/>
      <c r="K313" s="1060"/>
      <c r="L313" s="1060"/>
      <c r="M313" s="1060"/>
      <c r="N313" s="1060"/>
      <c r="O313" s="1060"/>
      <c r="P313" s="1060"/>
      <c r="Q313" s="1060"/>
      <c r="R313" s="1060"/>
      <c r="S313" s="1060"/>
      <c r="T313" s="1060"/>
      <c r="U313" s="1060"/>
      <c r="V313" s="1060"/>
      <c r="W313" s="1060"/>
      <c r="X313" s="827">
        <v>3109.3290000000002</v>
      </c>
      <c r="Y313" s="1061"/>
      <c r="Z313" s="1062"/>
      <c r="AA313" s="1062"/>
      <c r="AB313" s="1062"/>
      <c r="AC313" s="1062"/>
      <c r="AD313" s="1062"/>
      <c r="AE313" s="1062"/>
      <c r="AF313" s="1062"/>
      <c r="AG313" s="1062"/>
      <c r="AH313" s="1062"/>
      <c r="AI313" s="1062"/>
      <c r="AJ313" s="1062"/>
      <c r="AK313" s="1062"/>
      <c r="AL313" s="1062"/>
      <c r="AM313" s="1061"/>
      <c r="AN313" s="827"/>
      <c r="AO313" s="1063"/>
      <c r="AP313" s="1063"/>
      <c r="AQ313" s="1063"/>
      <c r="AR313" s="1063"/>
      <c r="AS313" s="1063"/>
      <c r="AT313" s="1061"/>
      <c r="AU313" s="1061"/>
      <c r="AV313" s="1061"/>
      <c r="AW313" s="827"/>
      <c r="AX313" s="1061"/>
      <c r="AY313" s="1064"/>
      <c r="AZ313" s="1065"/>
      <c r="BA313" s="1065"/>
      <c r="BB313" s="1064"/>
      <c r="BC313" s="1065"/>
      <c r="BD313" s="1065"/>
      <c r="BE313" s="1065"/>
      <c r="BF313" s="1065"/>
      <c r="BG313" s="1065"/>
      <c r="BH313" s="1065"/>
      <c r="BI313" s="1065"/>
      <c r="BJ313" s="1065"/>
      <c r="BK313" s="1065"/>
      <c r="BL313" s="1065"/>
      <c r="BM313" s="1065"/>
      <c r="BN313" s="1065"/>
      <c r="BO313" s="1065"/>
      <c r="BP313" s="1065"/>
      <c r="BQ313" s="1065"/>
      <c r="BR313" s="1065"/>
      <c r="BS313" s="1065"/>
      <c r="BT313" s="1065"/>
      <c r="BU313" s="1065"/>
      <c r="BV313" s="1065"/>
    </row>
    <row r="314" spans="1:74" s="1058" customFormat="1" ht="55.95" customHeight="1" x14ac:dyDescent="0.4">
      <c r="A314" s="859"/>
      <c r="B314" s="843" t="s">
        <v>187</v>
      </c>
      <c r="C314" s="876" t="str">
        <f>B314</f>
        <v>AEAsProxyCalc41</v>
      </c>
      <c r="D314" s="835"/>
      <c r="E314" s="1001" t="s">
        <v>36</v>
      </c>
      <c r="F314" s="1055" t="s">
        <v>395</v>
      </c>
      <c r="G314" s="1001" t="s">
        <v>191</v>
      </c>
      <c r="H314" s="1055" t="s">
        <v>397</v>
      </c>
      <c r="I314" s="1056" t="s">
        <v>44</v>
      </c>
      <c r="J314" s="1056"/>
      <c r="K314" s="1056"/>
      <c r="L314" s="1056"/>
      <c r="M314" s="1056"/>
      <c r="N314" s="1056"/>
      <c r="O314" s="1056"/>
      <c r="P314" s="1056"/>
      <c r="Q314" s="1056"/>
      <c r="R314" s="1056"/>
      <c r="S314" s="1056"/>
      <c r="T314" s="1056"/>
      <c r="U314" s="1056"/>
      <c r="V314" s="1056"/>
      <c r="W314" s="1056"/>
      <c r="X314" s="1310"/>
      <c r="Y314" s="1057"/>
      <c r="Z314" s="1057"/>
      <c r="AA314" s="1057"/>
      <c r="AB314" s="1057"/>
      <c r="AC314" s="1057"/>
      <c r="AD314" s="1057"/>
      <c r="AE314" s="1057"/>
      <c r="AF314" s="1057"/>
      <c r="AG314" s="1057"/>
      <c r="AH314" s="1057"/>
      <c r="AI314" s="1057"/>
      <c r="AJ314" s="1057"/>
      <c r="AK314" s="1057"/>
      <c r="AL314" s="1057"/>
      <c r="AM314" s="828"/>
      <c r="AN314" s="828">
        <v>2876.15</v>
      </c>
      <c r="AO314" s="828">
        <v>2802.9929999999999</v>
      </c>
      <c r="AP314" s="828">
        <v>2681.9318887499999</v>
      </c>
      <c r="AQ314" s="828">
        <v>2560.8707774999998</v>
      </c>
      <c r="AR314" s="828">
        <v>2439.8096662499997</v>
      </c>
      <c r="AS314" s="828">
        <v>2489.5706349302391</v>
      </c>
      <c r="AT314" s="828">
        <v>2325.8040036976795</v>
      </c>
      <c r="AU314" s="828">
        <v>2162.0373724651199</v>
      </c>
      <c r="AV314" s="828">
        <v>1998.2707412325601</v>
      </c>
      <c r="AW314" s="828">
        <v>1834.5041100000001</v>
      </c>
      <c r="AX314" s="828"/>
      <c r="AY314" s="828"/>
      <c r="AZ314" s="829"/>
      <c r="BA314" s="828"/>
      <c r="BB314" s="828"/>
      <c r="BC314" s="828"/>
      <c r="BD314" s="828"/>
      <c r="BE314" s="828"/>
      <c r="BF314" s="828"/>
      <c r="BG314" s="828"/>
      <c r="BH314" s="828"/>
      <c r="BI314" s="828"/>
      <c r="BJ314" s="828"/>
      <c r="BK314" s="828"/>
      <c r="BL314" s="828"/>
      <c r="BM314" s="828"/>
      <c r="BN314" s="828"/>
      <c r="BO314" s="828"/>
      <c r="BP314" s="828"/>
      <c r="BQ314" s="828"/>
      <c r="BR314" s="828"/>
      <c r="BS314" s="828"/>
      <c r="BT314" s="828"/>
      <c r="BU314" s="828"/>
      <c r="BV314" s="828"/>
    </row>
    <row r="315" spans="1:74" s="68" customFormat="1" ht="44.4" customHeight="1" x14ac:dyDescent="0.4">
      <c r="A315" s="859"/>
      <c r="B315" s="843"/>
      <c r="C315" s="876"/>
      <c r="D315" s="835"/>
      <c r="E315" s="1450" t="s">
        <v>382</v>
      </c>
      <c r="F315" s="1451" t="s">
        <v>396</v>
      </c>
      <c r="G315" s="1450" t="s">
        <v>381</v>
      </c>
      <c r="H315" s="1451" t="s">
        <v>398</v>
      </c>
      <c r="I315" s="71"/>
      <c r="J315" s="71"/>
      <c r="K315" s="71"/>
      <c r="L315" s="71"/>
      <c r="M315" s="71"/>
      <c r="N315" s="71"/>
      <c r="O315" s="71"/>
      <c r="P315" s="71"/>
      <c r="Q315" s="71"/>
      <c r="R315" s="71"/>
      <c r="S315" s="71"/>
      <c r="T315" s="71"/>
      <c r="U315" s="71"/>
      <c r="V315" s="71"/>
      <c r="W315" s="71"/>
      <c r="X315" s="1311"/>
      <c r="Y315" s="73"/>
      <c r="Z315" s="73"/>
      <c r="AA315" s="73"/>
      <c r="AB315" s="73"/>
      <c r="AC315" s="73"/>
      <c r="AD315" s="73"/>
      <c r="AE315" s="73"/>
      <c r="AF315" s="73"/>
      <c r="AG315" s="73"/>
      <c r="AH315" s="73"/>
      <c r="AI315" s="73"/>
      <c r="AJ315" s="73"/>
      <c r="AK315" s="73"/>
      <c r="AL315" s="73"/>
      <c r="AM315" s="72"/>
      <c r="AN315" s="72"/>
      <c r="AO315" s="72"/>
      <c r="AP315" s="72"/>
      <c r="AQ315" s="72"/>
      <c r="AR315" s="72"/>
      <c r="AS315" s="72"/>
      <c r="AT315" s="72"/>
      <c r="AU315" s="72"/>
      <c r="AV315" s="72"/>
      <c r="AW315" s="72"/>
      <c r="AX315" s="72"/>
      <c r="AY315" s="72"/>
      <c r="AZ315" s="74"/>
      <c r="BA315" s="72"/>
      <c r="BB315" s="72">
        <f>50%*$X$313</f>
        <v>1554.6645000000001</v>
      </c>
      <c r="BC315" s="72"/>
      <c r="BD315" s="72"/>
      <c r="BE315" s="72"/>
      <c r="BF315" s="72"/>
      <c r="BG315" s="72"/>
      <c r="BH315" s="72"/>
      <c r="BI315" s="72"/>
      <c r="BJ315" s="72"/>
      <c r="BK315" s="72"/>
      <c r="BL315" s="72"/>
      <c r="BM315" s="72"/>
      <c r="BN315" s="72"/>
      <c r="BO315" s="72"/>
      <c r="BP315" s="72"/>
      <c r="BQ315" s="72"/>
      <c r="BR315" s="72"/>
      <c r="BS315" s="72"/>
      <c r="BT315" s="72"/>
      <c r="BU315" s="72"/>
      <c r="BV315" s="72"/>
    </row>
    <row r="316" spans="1:74" s="68" customFormat="1" ht="44.4" customHeight="1" x14ac:dyDescent="0.4">
      <c r="A316" s="859"/>
      <c r="B316" s="843"/>
      <c r="C316" s="876"/>
      <c r="D316" s="835"/>
      <c r="E316" s="1450"/>
      <c r="F316" s="1452"/>
      <c r="G316" s="1450"/>
      <c r="H316" s="1452"/>
      <c r="I316" s="71"/>
      <c r="J316" s="71"/>
      <c r="K316" s="71"/>
      <c r="L316" s="71"/>
      <c r="M316" s="71"/>
      <c r="N316" s="71"/>
      <c r="O316" s="71"/>
      <c r="P316" s="71"/>
      <c r="Q316" s="71"/>
      <c r="R316" s="71"/>
      <c r="S316" s="71"/>
      <c r="T316" s="71"/>
      <c r="U316" s="71"/>
      <c r="V316" s="71"/>
      <c r="W316" s="71"/>
      <c r="X316" s="1311"/>
      <c r="Y316" s="73"/>
      <c r="Z316" s="73"/>
      <c r="AA316" s="73"/>
      <c r="AB316" s="73"/>
      <c r="AC316" s="73"/>
      <c r="AD316" s="73"/>
      <c r="AE316" s="73"/>
      <c r="AF316" s="73"/>
      <c r="AG316" s="73"/>
      <c r="AH316" s="73"/>
      <c r="AI316" s="73"/>
      <c r="AJ316" s="73"/>
      <c r="AK316" s="73"/>
      <c r="AL316" s="73"/>
      <c r="AM316" s="72"/>
      <c r="AN316" s="72"/>
      <c r="AO316" s="72"/>
      <c r="AP316" s="72"/>
      <c r="AQ316" s="72"/>
      <c r="AR316" s="72"/>
      <c r="AS316" s="72"/>
      <c r="AT316" s="72"/>
      <c r="AU316" s="72"/>
      <c r="AV316" s="72"/>
      <c r="AW316" s="72"/>
      <c r="AX316" s="72"/>
      <c r="AY316" s="72"/>
      <c r="AZ316" s="74"/>
      <c r="BA316" s="72"/>
      <c r="BB316" s="72">
        <f>45%*$X$313</f>
        <v>1399.1980500000002</v>
      </c>
      <c r="BC316" s="72"/>
      <c r="BD316" s="72"/>
      <c r="BE316" s="72"/>
      <c r="BF316" s="72"/>
      <c r="BG316" s="72"/>
      <c r="BH316" s="72"/>
      <c r="BI316" s="72"/>
      <c r="BJ316" s="72"/>
      <c r="BK316" s="72"/>
      <c r="BL316" s="72"/>
      <c r="BM316" s="72"/>
      <c r="BN316" s="72"/>
      <c r="BO316" s="72"/>
      <c r="BP316" s="72"/>
      <c r="BQ316" s="72"/>
      <c r="BR316" s="72"/>
      <c r="BS316" s="72"/>
      <c r="BT316" s="72"/>
      <c r="BU316" s="72"/>
      <c r="BV316" s="72"/>
    </row>
    <row r="317" spans="1:74" s="65" customFormat="1" ht="19.5" customHeight="1" x14ac:dyDescent="0.4">
      <c r="A317" s="858"/>
      <c r="B317" s="839"/>
      <c r="C317" s="869"/>
      <c r="D317" s="835"/>
      <c r="E317" s="102"/>
      <c r="F317" s="1029"/>
      <c r="G317" s="75"/>
      <c r="H317" s="1029"/>
      <c r="I317" s="57"/>
      <c r="J317" s="57"/>
      <c r="K317" s="57"/>
      <c r="L317" s="57"/>
      <c r="M317" s="57"/>
      <c r="N317" s="57"/>
      <c r="O317" s="57"/>
      <c r="P317" s="57"/>
      <c r="Q317" s="57"/>
      <c r="R317" s="57"/>
      <c r="S317" s="57"/>
      <c r="T317" s="57"/>
      <c r="U317" s="57"/>
      <c r="V317" s="57"/>
      <c r="W317" s="57"/>
      <c r="X317" s="1309"/>
      <c r="Y317" s="76"/>
      <c r="Z317" s="77"/>
      <c r="AA317" s="77"/>
      <c r="AB317" s="77"/>
      <c r="AC317" s="77"/>
      <c r="AD317" s="77"/>
      <c r="AE317" s="77"/>
      <c r="AF317" s="77"/>
      <c r="AG317" s="77"/>
      <c r="AH317" s="77"/>
      <c r="AI317" s="77"/>
      <c r="AJ317" s="77"/>
      <c r="AK317" s="77"/>
      <c r="AL317" s="77"/>
      <c r="AM317" s="77"/>
      <c r="AN317" s="78"/>
      <c r="AO317" s="79"/>
      <c r="AP317" s="78"/>
      <c r="AQ317" s="78"/>
      <c r="AR317" s="80"/>
      <c r="AS317" s="80"/>
      <c r="AT317" s="80"/>
      <c r="AU317" s="80"/>
      <c r="AV317" s="80"/>
      <c r="AW317" s="81"/>
      <c r="AX317" s="80"/>
      <c r="AY317" s="82"/>
      <c r="AZ317" s="58"/>
      <c r="BA317" s="58"/>
      <c r="BB317" s="794"/>
      <c r="BC317" s="58"/>
      <c r="BD317" s="58"/>
      <c r="BE317" s="58"/>
      <c r="BF317" s="58"/>
      <c r="BG317" s="58"/>
      <c r="BH317" s="58"/>
      <c r="BI317" s="58"/>
      <c r="BJ317" s="58"/>
      <c r="BK317" s="58"/>
      <c r="BL317" s="58"/>
      <c r="BM317" s="58"/>
      <c r="BN317" s="58"/>
      <c r="BO317" s="58"/>
      <c r="BP317" s="58"/>
      <c r="BQ317" s="58"/>
      <c r="BR317" s="58"/>
      <c r="BS317" s="58"/>
      <c r="BT317" s="58"/>
      <c r="BU317" s="58"/>
      <c r="BV317" s="58"/>
    </row>
    <row r="318" spans="1:74" s="1207" customFormat="1" ht="47.4" customHeight="1" x14ac:dyDescent="0.75">
      <c r="A318" s="1203"/>
      <c r="B318" s="847"/>
      <c r="C318" s="1204" t="s">
        <v>44</v>
      </c>
      <c r="D318" s="1149"/>
      <c r="E318" s="1136" t="s">
        <v>435</v>
      </c>
      <c r="F318" s="1039"/>
      <c r="G318" s="1205"/>
      <c r="H318" s="1039"/>
      <c r="I318" s="1205"/>
      <c r="J318" s="1205"/>
      <c r="K318" s="1205"/>
      <c r="L318" s="1205"/>
      <c r="M318" s="1205"/>
      <c r="N318" s="1205"/>
      <c r="O318" s="1205"/>
      <c r="P318" s="1205"/>
      <c r="Q318" s="1205"/>
      <c r="R318" s="1205"/>
      <c r="S318" s="1205"/>
      <c r="T318" s="1205"/>
      <c r="U318" s="1205"/>
      <c r="V318" s="1205"/>
      <c r="W318" s="1205"/>
      <c r="X318" s="1206"/>
      <c r="Y318" s="1205"/>
      <c r="Z318" s="1205"/>
      <c r="AA318" s="1205"/>
      <c r="AB318" s="1205"/>
      <c r="AC318" s="1205"/>
      <c r="AD318" s="1205"/>
      <c r="AE318" s="1205"/>
      <c r="AF318" s="1205"/>
      <c r="AG318" s="1205"/>
      <c r="AH318" s="1205"/>
      <c r="AI318" s="1205"/>
      <c r="AJ318" s="1205"/>
      <c r="AK318" s="1205"/>
      <c r="AL318" s="1205"/>
      <c r="AM318" s="1205"/>
      <c r="AN318" s="1205"/>
      <c r="AO318" s="1205"/>
      <c r="AP318" s="1205"/>
      <c r="AQ318" s="1205"/>
      <c r="AR318" s="1205"/>
      <c r="AS318" s="1205"/>
      <c r="AT318" s="1205"/>
      <c r="AU318" s="1205"/>
      <c r="AV318" s="1205"/>
      <c r="AW318" s="1206"/>
      <c r="AX318" s="1205"/>
      <c r="AY318" s="1205"/>
      <c r="AZ318" s="353"/>
      <c r="BA318" s="353"/>
      <c r="BB318" s="797"/>
      <c r="BC318" s="353"/>
      <c r="BD318" s="353"/>
      <c r="BE318" s="353"/>
      <c r="BF318" s="353"/>
      <c r="BG318" s="353"/>
      <c r="BH318" s="353"/>
      <c r="BI318" s="353"/>
      <c r="BJ318" s="353"/>
      <c r="BK318" s="353"/>
      <c r="BL318" s="353"/>
      <c r="BM318" s="353"/>
      <c r="BN318" s="353"/>
      <c r="BO318" s="353"/>
      <c r="BP318" s="353"/>
      <c r="BQ318" s="353"/>
      <c r="BR318" s="353"/>
      <c r="BS318" s="353"/>
      <c r="BT318" s="353"/>
      <c r="BU318" s="353"/>
      <c r="BV318" s="353"/>
    </row>
    <row r="319" spans="1:74" s="1231" customFormat="1" ht="48" customHeight="1" x14ac:dyDescent="0.4">
      <c r="A319" s="1222"/>
      <c r="B319" s="1223"/>
      <c r="C319" s="1224"/>
      <c r="D319" s="1225"/>
      <c r="E319" s="1137"/>
      <c r="F319" s="1226"/>
      <c r="G319" s="1227"/>
      <c r="H319" s="1226"/>
      <c r="I319" s="1227"/>
      <c r="J319" s="1227"/>
      <c r="K319" s="1227"/>
      <c r="L319" s="1227"/>
      <c r="M319" s="1227"/>
      <c r="N319" s="1227"/>
      <c r="O319" s="1227"/>
      <c r="P319" s="1227"/>
      <c r="Q319" s="1227"/>
      <c r="R319" s="1227"/>
      <c r="S319" s="1227"/>
      <c r="T319" s="1227"/>
      <c r="U319" s="1227"/>
      <c r="V319" s="1227"/>
      <c r="W319" s="1227"/>
      <c r="X319" s="1312"/>
      <c r="Y319" s="1228"/>
      <c r="Z319" s="1228"/>
      <c r="AA319" s="1228"/>
      <c r="AB319" s="1228"/>
      <c r="AC319" s="1228"/>
      <c r="AD319" s="1228"/>
      <c r="AE319" s="1228"/>
      <c r="AF319" s="1228"/>
      <c r="AG319" s="1228"/>
      <c r="AH319" s="1228"/>
      <c r="AI319" s="1228"/>
      <c r="AJ319" s="1228"/>
      <c r="AK319" s="1228"/>
      <c r="AL319" s="1228"/>
      <c r="AM319" s="1228"/>
      <c r="AN319" s="1228"/>
      <c r="AO319" s="1228"/>
      <c r="AP319" s="1228"/>
      <c r="AQ319" s="1228"/>
      <c r="AR319" s="1228"/>
      <c r="AS319" s="1228"/>
      <c r="AT319" s="1228"/>
      <c r="AU319" s="1228"/>
      <c r="AV319" s="1228"/>
      <c r="AW319" s="1229"/>
      <c r="AX319" s="1228"/>
      <c r="AY319" s="1228"/>
      <c r="AZ319" s="1228"/>
      <c r="BA319" s="1228"/>
      <c r="BB319" s="1230"/>
      <c r="BC319" s="1228"/>
      <c r="BD319" s="1228"/>
      <c r="BE319" s="1228"/>
      <c r="BF319" s="1228"/>
      <c r="BG319" s="1228"/>
      <c r="BH319" s="1228"/>
      <c r="BI319" s="1228"/>
      <c r="BJ319" s="1228"/>
      <c r="BK319" s="1228"/>
      <c r="BL319" s="1228"/>
      <c r="BM319" s="1228"/>
      <c r="BN319" s="1228"/>
      <c r="BO319" s="1228"/>
      <c r="BP319" s="1228"/>
      <c r="BQ319" s="1228"/>
      <c r="BR319" s="1228"/>
      <c r="BS319" s="1228"/>
      <c r="BT319" s="1228"/>
      <c r="BU319" s="1228"/>
      <c r="BV319" s="1228"/>
    </row>
    <row r="320" spans="1:74" s="68" customFormat="1" ht="15" customHeight="1" x14ac:dyDescent="0.4">
      <c r="A320" s="859"/>
      <c r="B320" s="843"/>
      <c r="C320" s="869"/>
      <c r="D320" s="891"/>
      <c r="E320" s="35"/>
      <c r="F320" s="90"/>
      <c r="G320" s="35"/>
      <c r="H320" s="90"/>
      <c r="I320" s="47"/>
      <c r="J320" s="47"/>
      <c r="K320" s="47"/>
      <c r="L320" s="47"/>
      <c r="M320" s="47"/>
      <c r="N320" s="47"/>
      <c r="O320" s="47"/>
      <c r="P320" s="47"/>
      <c r="Q320" s="47"/>
      <c r="R320" s="47"/>
      <c r="S320" s="47"/>
      <c r="T320" s="47"/>
      <c r="U320" s="47"/>
      <c r="V320" s="47"/>
      <c r="W320" s="47"/>
      <c r="X320" s="1313"/>
      <c r="Y320" s="90"/>
      <c r="Z320" s="90"/>
      <c r="AA320" s="90"/>
      <c r="AB320" s="90"/>
      <c r="AC320" s="90"/>
      <c r="AD320" s="90"/>
      <c r="AE320" s="90"/>
      <c r="AF320" s="90"/>
      <c r="AG320" s="90"/>
      <c r="AH320" s="90"/>
      <c r="AI320" s="90"/>
      <c r="AJ320" s="90"/>
      <c r="AK320" s="90"/>
      <c r="AL320" s="90"/>
      <c r="AM320" s="90"/>
      <c r="AN320" s="1133"/>
      <c r="AO320" s="90"/>
      <c r="AP320" s="90"/>
      <c r="AQ320" s="90"/>
      <c r="AR320" s="180"/>
      <c r="AS320" s="180"/>
      <c r="AT320" s="180"/>
      <c r="AU320" s="180"/>
      <c r="AV320" s="180"/>
      <c r="AW320" s="690"/>
      <c r="AX320" s="180"/>
      <c r="AY320" s="180"/>
      <c r="AZ320" s="180"/>
      <c r="BA320" s="180"/>
      <c r="BB320" s="792"/>
      <c r="BC320" s="180"/>
      <c r="BD320" s="180"/>
      <c r="BE320" s="180"/>
      <c r="BF320" s="180"/>
      <c r="BG320" s="180"/>
      <c r="BH320" s="180"/>
      <c r="BI320" s="180"/>
      <c r="BJ320" s="180"/>
      <c r="BK320" s="180"/>
      <c r="BL320" s="180"/>
      <c r="BM320" s="180"/>
      <c r="BN320" s="180"/>
      <c r="BO320" s="180"/>
      <c r="BP320" s="180"/>
      <c r="BQ320" s="180"/>
      <c r="BR320" s="180"/>
      <c r="BS320" s="180"/>
      <c r="BT320" s="180"/>
      <c r="BU320" s="180"/>
      <c r="BV320" s="180"/>
    </row>
    <row r="321" spans="1:74" s="85" customFormat="1" x14ac:dyDescent="0.4">
      <c r="A321" s="860"/>
      <c r="B321" s="839"/>
      <c r="C321" s="869"/>
      <c r="D321" s="892" t="s">
        <v>44</v>
      </c>
      <c r="E321" s="620" t="str">
        <f>$E$5</f>
        <v>Söguleg losun</v>
      </c>
      <c r="F321" s="1134"/>
      <c r="G321" s="620" t="s">
        <v>330</v>
      </c>
      <c r="H321" s="1134"/>
      <c r="I321" s="86"/>
      <c r="J321" s="86"/>
      <c r="K321" s="86"/>
      <c r="L321" s="86"/>
      <c r="M321" s="86"/>
      <c r="N321" s="86"/>
      <c r="O321" s="86"/>
      <c r="P321" s="86"/>
      <c r="Q321" s="86"/>
      <c r="R321" s="86"/>
      <c r="S321" s="86"/>
      <c r="T321" s="86"/>
      <c r="U321" s="86"/>
      <c r="V321" s="86"/>
      <c r="W321" s="86"/>
      <c r="X321" s="793"/>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621"/>
      <c r="AX321" s="5"/>
      <c r="AY321" s="5"/>
      <c r="AZ321" s="5"/>
      <c r="BA321" s="5"/>
      <c r="BB321" s="793"/>
      <c r="BC321" s="5"/>
      <c r="BD321" s="5"/>
      <c r="BE321" s="5"/>
      <c r="BF321" s="5"/>
      <c r="BG321" s="5"/>
      <c r="BH321" s="5"/>
      <c r="BI321" s="5"/>
      <c r="BJ321" s="5"/>
      <c r="BK321" s="5"/>
      <c r="BL321" s="5"/>
      <c r="BM321" s="5"/>
      <c r="BN321" s="5"/>
      <c r="BO321" s="5"/>
      <c r="BP321" s="5"/>
      <c r="BQ321" s="5"/>
      <c r="BR321" s="5"/>
      <c r="BS321" s="5"/>
      <c r="BT321" s="5"/>
      <c r="BU321" s="5"/>
      <c r="BV321" s="5"/>
    </row>
    <row r="322" spans="1:74" s="50" customFormat="1" ht="18" customHeight="1" x14ac:dyDescent="0.4">
      <c r="A322" s="856"/>
      <c r="B322" s="841" t="s">
        <v>80</v>
      </c>
      <c r="C322" s="869" t="s">
        <v>44</v>
      </c>
      <c r="D322" s="892" t="s">
        <v>44</v>
      </c>
      <c r="E322" s="11" t="s">
        <v>34</v>
      </c>
      <c r="F322" s="89"/>
      <c r="G322" s="11" t="s">
        <v>151</v>
      </c>
      <c r="H322" s="89"/>
      <c r="I322" s="12"/>
      <c r="J322" s="12"/>
      <c r="K322" s="12"/>
      <c r="L322" s="12"/>
      <c r="M322" s="12"/>
      <c r="N322" s="12"/>
      <c r="O322" s="12"/>
      <c r="P322" s="12"/>
      <c r="Q322" s="12"/>
      <c r="R322" s="12"/>
      <c r="S322" s="12"/>
      <c r="T322" s="12"/>
      <c r="U322" s="12"/>
      <c r="V322" s="12"/>
      <c r="W322" s="12"/>
      <c r="X322" s="704">
        <v>31.238484919299999</v>
      </c>
      <c r="Y322" s="11">
        <v>25.512199570446668</v>
      </c>
      <c r="Z322" s="11">
        <v>25.460353461473328</v>
      </c>
      <c r="AA322" s="11">
        <v>25.083005222693334</v>
      </c>
      <c r="AB322" s="11">
        <v>20.12935053244</v>
      </c>
      <c r="AC322" s="11">
        <v>21.812472989966665</v>
      </c>
      <c r="AD322" s="11">
        <v>22.110419334539998</v>
      </c>
      <c r="AE322" s="11">
        <v>16.003616755494086</v>
      </c>
      <c r="AF322" s="11">
        <v>13.893019313516064</v>
      </c>
      <c r="AG322" s="87">
        <v>7.989149136368459</v>
      </c>
      <c r="AH322" s="87">
        <v>7.879728268322002</v>
      </c>
      <c r="AI322" s="11">
        <v>12.421143917972499</v>
      </c>
      <c r="AJ322" s="11">
        <v>10.913579733697402</v>
      </c>
      <c r="AK322" s="11">
        <v>12.178335297197657</v>
      </c>
      <c r="AL322" s="11">
        <v>10.857557637036349</v>
      </c>
      <c r="AM322" s="87">
        <v>7.8790448188936626</v>
      </c>
      <c r="AN322" s="11">
        <v>10.453638308901184</v>
      </c>
      <c r="AO322" s="87">
        <v>7.618495403881953</v>
      </c>
      <c r="AP322" s="87">
        <v>5.5265801624558328</v>
      </c>
      <c r="AQ322" s="87">
        <v>6.230714396192325</v>
      </c>
      <c r="AR322" s="87">
        <v>5.2888553506420521</v>
      </c>
      <c r="AS322" s="12"/>
      <c r="AT322" s="12"/>
      <c r="AU322" s="12"/>
      <c r="AV322" s="12"/>
      <c r="AW322" s="689"/>
      <c r="AX322" s="12"/>
      <c r="AY322" s="12"/>
      <c r="AZ322" s="12"/>
      <c r="BA322" s="12"/>
      <c r="BB322" s="791"/>
      <c r="BC322" s="12"/>
      <c r="BD322" s="12"/>
      <c r="BE322" s="12"/>
      <c r="BF322" s="12"/>
      <c r="BG322" s="12"/>
      <c r="BH322" s="12"/>
      <c r="BI322" s="12"/>
      <c r="BJ322" s="12"/>
      <c r="BK322" s="12"/>
      <c r="BL322" s="12"/>
      <c r="BM322" s="12"/>
      <c r="BN322" s="12"/>
      <c r="BO322" s="12"/>
      <c r="BP322" s="12"/>
      <c r="BQ322" s="12"/>
      <c r="BR322" s="12"/>
      <c r="BS322" s="12"/>
      <c r="BT322" s="12"/>
      <c r="BU322" s="12"/>
      <c r="BV322" s="12"/>
    </row>
    <row r="323" spans="1:74" s="50" customFormat="1" ht="18" customHeight="1" x14ac:dyDescent="0.4">
      <c r="A323" s="856"/>
      <c r="B323" s="848" t="s">
        <v>355</v>
      </c>
      <c r="C323" s="869" t="s">
        <v>44</v>
      </c>
      <c r="D323" s="892" t="s">
        <v>44</v>
      </c>
      <c r="E323" s="11" t="s">
        <v>35</v>
      </c>
      <c r="F323" s="89"/>
      <c r="G323" s="11" t="s">
        <v>137</v>
      </c>
      <c r="H323" s="89"/>
      <c r="I323" s="12"/>
      <c r="J323" s="12"/>
      <c r="K323" s="12"/>
      <c r="L323" s="12"/>
      <c r="M323" s="12"/>
      <c r="N323" s="12"/>
      <c r="O323" s="12"/>
      <c r="P323" s="12"/>
      <c r="Q323" s="12"/>
      <c r="R323" s="12"/>
      <c r="S323" s="12"/>
      <c r="T323" s="12"/>
      <c r="U323" s="12"/>
      <c r="V323" s="12"/>
      <c r="W323" s="12"/>
      <c r="X323" s="704">
        <v>376.83593000639996</v>
      </c>
      <c r="Y323" s="11">
        <v>378.67314290880006</v>
      </c>
      <c r="Z323" s="11">
        <v>398.15671910399999</v>
      </c>
      <c r="AA323" s="11">
        <v>349.27363032799997</v>
      </c>
      <c r="AB323" s="11">
        <v>350.6137790624</v>
      </c>
      <c r="AC323" s="11">
        <v>369.70003365120004</v>
      </c>
      <c r="AD323" s="11">
        <v>377.47027440484715</v>
      </c>
      <c r="AE323" s="11">
        <v>410.12313323066923</v>
      </c>
      <c r="AF323" s="11">
        <v>406.15873991578883</v>
      </c>
      <c r="AG323" s="11">
        <v>368.42751117182405</v>
      </c>
      <c r="AH323" s="11">
        <v>400.91750131306242</v>
      </c>
      <c r="AI323" s="11">
        <v>405.16545580981278</v>
      </c>
      <c r="AJ323" s="11">
        <v>428.32083524965418</v>
      </c>
      <c r="AK323" s="11">
        <v>452.2433647004662</v>
      </c>
      <c r="AL323" s="11">
        <v>428.79341747368801</v>
      </c>
      <c r="AM323" s="11">
        <v>415.30481108799324</v>
      </c>
      <c r="AN323" s="11">
        <v>472.04519978932524</v>
      </c>
      <c r="AO323" s="11">
        <v>513.25851857568762</v>
      </c>
      <c r="AP323" s="11">
        <v>404.35243266231652</v>
      </c>
      <c r="AQ323" s="11">
        <v>522.51012450550002</v>
      </c>
      <c r="AR323" s="11">
        <v>380.97920711840749</v>
      </c>
      <c r="AS323" s="12"/>
      <c r="AT323" s="12"/>
      <c r="AU323" s="12"/>
      <c r="AV323" s="12"/>
      <c r="AW323" s="689"/>
      <c r="AX323" s="12"/>
      <c r="AY323" s="12"/>
      <c r="AZ323" s="12"/>
      <c r="BA323" s="12"/>
      <c r="BB323" s="791"/>
      <c r="BC323" s="12"/>
      <c r="BD323" s="12"/>
      <c r="BE323" s="12"/>
      <c r="BF323" s="12"/>
      <c r="BG323" s="12"/>
      <c r="BH323" s="12"/>
      <c r="BI323" s="12"/>
      <c r="BJ323" s="12"/>
      <c r="BK323" s="12"/>
      <c r="BL323" s="12"/>
      <c r="BM323" s="12"/>
      <c r="BN323" s="12"/>
      <c r="BO323" s="12"/>
      <c r="BP323" s="12"/>
      <c r="BQ323" s="12"/>
      <c r="BR323" s="12"/>
      <c r="BS323" s="12"/>
      <c r="BT323" s="12"/>
      <c r="BU323" s="12"/>
      <c r="BV323" s="12"/>
    </row>
    <row r="324" spans="1:74" s="68" customFormat="1" ht="18" customHeight="1" x14ac:dyDescent="0.4">
      <c r="A324" s="859"/>
      <c r="B324" s="848" t="s">
        <v>356</v>
      </c>
      <c r="C324" s="869" t="s">
        <v>44</v>
      </c>
      <c r="D324" s="892" t="s">
        <v>44</v>
      </c>
      <c r="E324" s="11" t="s">
        <v>15</v>
      </c>
      <c r="F324" s="89"/>
      <c r="G324" s="11" t="s">
        <v>136</v>
      </c>
      <c r="H324" s="89"/>
      <c r="I324" s="12"/>
      <c r="J324" s="12"/>
      <c r="K324" s="12"/>
      <c r="L324" s="12"/>
      <c r="M324" s="12"/>
      <c r="N324" s="12"/>
      <c r="O324" s="12"/>
      <c r="P324" s="12"/>
      <c r="Q324" s="12"/>
      <c r="R324" s="12"/>
      <c r="S324" s="12"/>
      <c r="T324" s="12"/>
      <c r="U324" s="12"/>
      <c r="V324" s="12"/>
      <c r="W324" s="12"/>
      <c r="X324" s="704">
        <v>444.80851616708713</v>
      </c>
      <c r="Y324" s="11">
        <v>869.57185988485026</v>
      </c>
      <c r="Z324" s="11">
        <v>990.9812662975811</v>
      </c>
      <c r="AA324" s="11">
        <v>1556.7584922170533</v>
      </c>
      <c r="AB324" s="11">
        <v>1393.4018646112661</v>
      </c>
      <c r="AC324" s="11">
        <v>1391.9209450624714</v>
      </c>
      <c r="AD324" s="11">
        <v>1281.3105455922125</v>
      </c>
      <c r="AE324" s="11">
        <v>1328.734241090614</v>
      </c>
      <c r="AF324" s="11">
        <v>1353.4714335748731</v>
      </c>
      <c r="AG324" s="11">
        <v>1368.5549133196287</v>
      </c>
      <c r="AH324" s="11">
        <v>1392.8009611325194</v>
      </c>
      <c r="AI324" s="11">
        <v>1354.0817500285532</v>
      </c>
      <c r="AJ324" s="11">
        <v>1385.5590799231948</v>
      </c>
      <c r="AK324" s="11">
        <v>1382.5326490562104</v>
      </c>
      <c r="AL324" s="11">
        <v>1348.3578754895577</v>
      </c>
      <c r="AM324" s="11">
        <v>1328.849358132371</v>
      </c>
      <c r="AN324" s="11">
        <v>1345.5222697586937</v>
      </c>
      <c r="AO324" s="11">
        <v>1354.2007303406649</v>
      </c>
      <c r="AP324" s="11">
        <v>1402.6496416686878</v>
      </c>
      <c r="AQ324" s="11">
        <v>1360.4116549515916</v>
      </c>
      <c r="AR324" s="11">
        <v>1290.3163042728158</v>
      </c>
      <c r="AS324" s="12"/>
      <c r="AT324" s="12"/>
      <c r="AU324" s="12"/>
      <c r="AV324" s="12"/>
      <c r="AW324" s="689"/>
      <c r="AX324" s="12"/>
      <c r="AY324" s="12"/>
      <c r="AZ324" s="12"/>
      <c r="BA324" s="12"/>
      <c r="BB324" s="791"/>
      <c r="BC324" s="12"/>
      <c r="BD324" s="12"/>
      <c r="BE324" s="12"/>
      <c r="BF324" s="12"/>
      <c r="BG324" s="12"/>
      <c r="BH324" s="12"/>
      <c r="BI324" s="12"/>
      <c r="BJ324" s="12"/>
      <c r="BK324" s="12"/>
      <c r="BL324" s="12"/>
      <c r="BM324" s="12"/>
      <c r="BN324" s="12"/>
      <c r="BO324" s="12"/>
      <c r="BP324" s="12"/>
      <c r="BQ324" s="12"/>
      <c r="BR324" s="12"/>
      <c r="BS324" s="12"/>
      <c r="BT324" s="12"/>
      <c r="BU324" s="12"/>
      <c r="BV324" s="12"/>
    </row>
    <row r="325" spans="1:74" ht="18" customHeight="1" x14ac:dyDescent="0.4">
      <c r="B325" s="848" t="s">
        <v>78</v>
      </c>
      <c r="C325" s="869" t="s">
        <v>44</v>
      </c>
      <c r="D325" s="892" t="s">
        <v>44</v>
      </c>
      <c r="E325" s="14" t="s">
        <v>117</v>
      </c>
      <c r="F325" s="89"/>
      <c r="G325" s="14"/>
      <c r="H325" s="89"/>
      <c r="I325" s="12"/>
      <c r="J325" s="12"/>
      <c r="K325" s="12"/>
      <c r="L325" s="12"/>
      <c r="M325" s="12"/>
      <c r="N325" s="12"/>
      <c r="O325" s="12"/>
      <c r="P325" s="12"/>
      <c r="Q325" s="12"/>
      <c r="R325" s="12"/>
      <c r="S325" s="12"/>
      <c r="T325" s="12"/>
      <c r="U325" s="12"/>
      <c r="V325" s="12"/>
      <c r="W325" s="12"/>
      <c r="X325" s="697">
        <v>852.8829310927872</v>
      </c>
      <c r="Y325" s="89">
        <v>1273.7572023640969</v>
      </c>
      <c r="Z325" s="89">
        <v>1414.5983388630543</v>
      </c>
      <c r="AA325" s="89">
        <v>1931.1151277677466</v>
      </c>
      <c r="AB325" s="89">
        <v>1764.1449942061063</v>
      </c>
      <c r="AC325" s="89">
        <v>1783.4334517036384</v>
      </c>
      <c r="AD325" s="89">
        <v>1680.8912393315998</v>
      </c>
      <c r="AE325" s="89">
        <v>1754.8609910767771</v>
      </c>
      <c r="AF325" s="89">
        <v>1773.5231928041781</v>
      </c>
      <c r="AG325" s="89">
        <v>1744.9715736278213</v>
      </c>
      <c r="AH325" s="89">
        <v>1801.5981907139037</v>
      </c>
      <c r="AI325" s="89">
        <v>1771.6683497563386</v>
      </c>
      <c r="AJ325" s="89">
        <v>1824.7934949065466</v>
      </c>
      <c r="AK325" s="89">
        <v>1846.9543490538742</v>
      </c>
      <c r="AL325" s="89">
        <v>1788.0088506002819</v>
      </c>
      <c r="AM325" s="89">
        <v>1752.0332140392577</v>
      </c>
      <c r="AN325" s="89">
        <v>1828.02</v>
      </c>
      <c r="AO325" s="89">
        <v>1875.076</v>
      </c>
      <c r="AP325" s="89">
        <v>1812.53</v>
      </c>
      <c r="AQ325" s="89">
        <v>1889.154</v>
      </c>
      <c r="AR325" s="89">
        <v>1676.5843667418656</v>
      </c>
      <c r="AS325" s="12"/>
      <c r="AT325" s="12"/>
      <c r="AU325" s="12"/>
      <c r="AV325" s="12"/>
      <c r="AW325" s="689"/>
      <c r="AX325" s="12"/>
      <c r="AY325" s="12"/>
      <c r="AZ325" s="12"/>
      <c r="BA325" s="12"/>
      <c r="BB325" s="791"/>
      <c r="BC325" s="12"/>
      <c r="BD325" s="12"/>
      <c r="BE325" s="12"/>
      <c r="BF325" s="12"/>
      <c r="BG325" s="12"/>
      <c r="BH325" s="12"/>
      <c r="BI325" s="12"/>
      <c r="BJ325" s="12"/>
      <c r="BK325" s="12"/>
      <c r="BL325" s="12"/>
      <c r="BM325" s="12"/>
      <c r="BN325" s="12"/>
      <c r="BO325" s="12"/>
      <c r="BP325" s="12"/>
      <c r="BQ325" s="12"/>
      <c r="BR325" s="12"/>
      <c r="BS325" s="12"/>
      <c r="BT325" s="12"/>
      <c r="BU325" s="12"/>
      <c r="BV325" s="12"/>
    </row>
    <row r="326" spans="1:74" s="68" customFormat="1" ht="15" customHeight="1" x14ac:dyDescent="0.4">
      <c r="A326" s="859"/>
      <c r="B326" s="843"/>
      <c r="C326" s="869"/>
      <c r="D326" s="891"/>
      <c r="E326" s="35"/>
      <c r="F326" s="90"/>
      <c r="G326" s="35"/>
      <c r="H326" s="90"/>
      <c r="I326" s="47"/>
      <c r="J326" s="47"/>
      <c r="K326" s="47"/>
      <c r="L326" s="47"/>
      <c r="M326" s="47"/>
      <c r="N326" s="47"/>
      <c r="O326" s="47"/>
      <c r="P326" s="47"/>
      <c r="Q326" s="47"/>
      <c r="R326" s="47"/>
      <c r="S326" s="47"/>
      <c r="T326" s="47"/>
      <c r="U326" s="47"/>
      <c r="V326" s="47"/>
      <c r="W326" s="47"/>
      <c r="X326" s="1313"/>
      <c r="Y326" s="90"/>
      <c r="Z326" s="90"/>
      <c r="AA326" s="90"/>
      <c r="AB326" s="90"/>
      <c r="AC326" s="90"/>
      <c r="AD326" s="90"/>
      <c r="AE326" s="90"/>
      <c r="AF326" s="90"/>
      <c r="AG326" s="90"/>
      <c r="AH326" s="90"/>
      <c r="AI326" s="90"/>
      <c r="AJ326" s="90"/>
      <c r="AK326" s="90"/>
      <c r="AL326" s="90"/>
      <c r="AM326" s="90"/>
      <c r="AN326" s="1133"/>
      <c r="AO326" s="90"/>
      <c r="AP326" s="90"/>
      <c r="AQ326" s="90"/>
      <c r="AR326" s="180"/>
      <c r="AS326" s="180"/>
      <c r="AT326" s="180"/>
      <c r="AU326" s="180"/>
      <c r="AV326" s="180"/>
      <c r="AW326" s="690"/>
      <c r="AX326" s="180"/>
      <c r="AY326" s="180"/>
      <c r="AZ326" s="180"/>
      <c r="BA326" s="180"/>
      <c r="BB326" s="792"/>
      <c r="BC326" s="180"/>
      <c r="BD326" s="180"/>
      <c r="BE326" s="180"/>
      <c r="BF326" s="180"/>
      <c r="BG326" s="180"/>
      <c r="BH326" s="180"/>
      <c r="BI326" s="180"/>
      <c r="BJ326" s="180"/>
      <c r="BK326" s="180"/>
      <c r="BL326" s="180"/>
      <c r="BM326" s="180"/>
      <c r="BN326" s="180"/>
      <c r="BO326" s="180"/>
      <c r="BP326" s="180"/>
      <c r="BQ326" s="180"/>
      <c r="BR326" s="180"/>
      <c r="BS326" s="180"/>
      <c r="BT326" s="180"/>
      <c r="BU326" s="180"/>
      <c r="BV326" s="180"/>
    </row>
    <row r="327" spans="1:74" s="85" customFormat="1" x14ac:dyDescent="0.4">
      <c r="A327" s="860"/>
      <c r="B327" s="839"/>
      <c r="C327" s="869"/>
      <c r="D327" s="892" t="s">
        <v>44</v>
      </c>
      <c r="E327" s="628" t="str">
        <f>$E$14</f>
        <v>Losunarspá: Sviðsmynd byggð á aðgerðum stjórnvalda</v>
      </c>
      <c r="F327" s="1134"/>
      <c r="G327" s="628" t="str">
        <f>$G$14</f>
        <v>Emission Projections: Government Policy-Based Scenario</v>
      </c>
      <c r="H327" s="1134"/>
      <c r="I327" s="86"/>
      <c r="J327" s="86"/>
      <c r="K327" s="86"/>
      <c r="L327" s="86"/>
      <c r="M327" s="86"/>
      <c r="N327" s="86"/>
      <c r="O327" s="86"/>
      <c r="P327" s="86"/>
      <c r="Q327" s="86"/>
      <c r="R327" s="86"/>
      <c r="S327" s="86"/>
      <c r="T327" s="86"/>
      <c r="U327" s="86"/>
      <c r="V327" s="86"/>
      <c r="W327" s="86"/>
      <c r="X327" s="793"/>
      <c r="Y327" s="5"/>
      <c r="Z327" s="5"/>
      <c r="AA327" s="5"/>
      <c r="AB327" s="5"/>
      <c r="AC327" s="5"/>
      <c r="AD327" s="5"/>
      <c r="AE327" s="5"/>
      <c r="AF327" s="5"/>
      <c r="AG327" s="5"/>
      <c r="AH327" s="5"/>
      <c r="AI327" s="5"/>
      <c r="AJ327" s="5"/>
      <c r="AK327" s="5"/>
      <c r="AL327" s="5"/>
      <c r="AM327" s="5"/>
      <c r="AN327" s="5"/>
      <c r="AO327" s="5"/>
      <c r="AP327" s="5"/>
      <c r="AQ327" s="5"/>
      <c r="AR327" s="50"/>
      <c r="AS327" s="50"/>
      <c r="AT327" s="50"/>
      <c r="AU327" s="50"/>
      <c r="AV327" s="50"/>
      <c r="AW327" s="694"/>
      <c r="AX327" s="50"/>
      <c r="AY327" s="50"/>
      <c r="AZ327" s="50"/>
      <c r="BA327" s="50"/>
      <c r="BB327" s="794"/>
      <c r="BC327" s="50"/>
      <c r="BD327" s="50"/>
      <c r="BE327" s="50"/>
      <c r="BF327" s="50"/>
      <c r="BG327" s="50"/>
      <c r="BH327" s="50"/>
      <c r="BI327" s="50"/>
      <c r="BJ327" s="50"/>
      <c r="BK327" s="50"/>
      <c r="BL327" s="50"/>
      <c r="BM327" s="50"/>
      <c r="BN327" s="50"/>
      <c r="BO327" s="50"/>
      <c r="BP327" s="50"/>
      <c r="BQ327" s="50"/>
      <c r="BR327" s="50"/>
      <c r="BS327" s="50"/>
      <c r="BT327" s="50"/>
      <c r="BU327" s="50"/>
      <c r="BV327" s="50"/>
    </row>
    <row r="328" spans="1:74" s="50" customFormat="1" ht="18" customHeight="1" x14ac:dyDescent="0.4">
      <c r="A328" s="856"/>
      <c r="B328" s="841" t="s">
        <v>80</v>
      </c>
      <c r="C328" s="866" t="str">
        <f t="shared" ref="C328" si="120">B328&amp;" "&amp;D328</f>
        <v>ETS Energy EmissionsGHGskt CO2eq WEM</v>
      </c>
      <c r="D328" s="891" t="s">
        <v>377</v>
      </c>
      <c r="E328" s="11" t="s">
        <v>34</v>
      </c>
      <c r="F328" s="89"/>
      <c r="G328" s="11" t="s">
        <v>151</v>
      </c>
      <c r="H328" s="89"/>
      <c r="I328" s="12"/>
      <c r="J328" s="12"/>
      <c r="K328" s="12"/>
      <c r="L328" s="12"/>
      <c r="M328" s="12"/>
      <c r="N328" s="12"/>
      <c r="O328" s="12"/>
      <c r="P328" s="12"/>
      <c r="Q328" s="12"/>
      <c r="R328" s="12"/>
      <c r="S328" s="12"/>
      <c r="T328" s="12"/>
      <c r="U328" s="12"/>
      <c r="V328" s="12"/>
      <c r="W328" s="12"/>
      <c r="X328" s="791"/>
      <c r="Y328" s="12"/>
      <c r="Z328" s="12"/>
      <c r="AA328" s="12"/>
      <c r="AB328" s="12"/>
      <c r="AC328" s="12"/>
      <c r="AD328" s="12"/>
      <c r="AE328" s="12"/>
      <c r="AF328" s="12"/>
      <c r="AG328" s="12"/>
      <c r="AH328" s="12"/>
      <c r="AI328" s="12"/>
      <c r="AJ328" s="12"/>
      <c r="AK328" s="12"/>
      <c r="AL328" s="12"/>
      <c r="AM328" s="12"/>
      <c r="AN328" s="12"/>
      <c r="AO328" s="12"/>
      <c r="AP328" s="161"/>
      <c r="AQ328" s="161"/>
      <c r="AR328" s="168">
        <f>AR322</f>
        <v>5.2888553506420521</v>
      </c>
      <c r="AS328" s="87">
        <v>5.780584328823311</v>
      </c>
      <c r="AT328" s="87">
        <v>5.769659813024421</v>
      </c>
      <c r="AU328" s="87">
        <v>5.7560278451200366</v>
      </c>
      <c r="AV328" s="87">
        <v>5.6847415308417863</v>
      </c>
      <c r="AW328" s="707">
        <v>5.6074594117152525</v>
      </c>
      <c r="AX328" s="87">
        <v>5.5435584353793894</v>
      </c>
      <c r="AY328" s="87">
        <v>5.469767841633816</v>
      </c>
      <c r="AZ328" s="87">
        <v>5.3934330269722572</v>
      </c>
      <c r="BA328" s="87">
        <v>5.3140365124772551</v>
      </c>
      <c r="BB328" s="707">
        <v>5.2193678345220773</v>
      </c>
      <c r="BC328" s="87">
        <v>5.1217963614085908</v>
      </c>
      <c r="BD328" s="87">
        <v>5.0145018421591354</v>
      </c>
      <c r="BE328" s="87">
        <v>4.8919235455429888</v>
      </c>
      <c r="BF328" s="87">
        <v>4.7654305249628264</v>
      </c>
      <c r="BG328" s="87">
        <v>4.6261024750227753</v>
      </c>
      <c r="BH328" s="87">
        <v>4.4938514580323297</v>
      </c>
      <c r="BI328" s="87">
        <v>4.3479020818541478</v>
      </c>
      <c r="BJ328" s="87">
        <v>4.1898131886588263</v>
      </c>
      <c r="BK328" s="87">
        <v>4.0216589877148472</v>
      </c>
      <c r="BL328" s="87">
        <v>3.8443001947074777</v>
      </c>
      <c r="BM328" s="87">
        <v>3.6578196658553446</v>
      </c>
      <c r="BN328" s="87">
        <v>3.4541702707121331</v>
      </c>
      <c r="BO328" s="87">
        <v>3.2386971976703407</v>
      </c>
      <c r="BP328" s="87">
        <v>3.0140376390875296</v>
      </c>
      <c r="BQ328" s="87">
        <v>2.7726504246066597</v>
      </c>
      <c r="BR328" s="87">
        <v>2.5225270841355445</v>
      </c>
      <c r="BS328" s="87">
        <v>2.2604785978767379</v>
      </c>
      <c r="BT328" s="87">
        <v>1.9892480044751057</v>
      </c>
      <c r="BU328" s="87">
        <v>1.7027185970565881</v>
      </c>
      <c r="BV328" s="87">
        <v>1.4066013008041984</v>
      </c>
    </row>
    <row r="329" spans="1:74" s="50" customFormat="1" ht="18" customHeight="1" x14ac:dyDescent="0.4">
      <c r="A329" s="856"/>
      <c r="B329" s="848" t="s">
        <v>355</v>
      </c>
      <c r="C329" s="866" t="str">
        <f t="shared" ref="C329:C331" si="121">B329&amp;" "&amp;D329</f>
        <v>2C2Emissions (ETS)kt CO2eq WEM</v>
      </c>
      <c r="D329" s="891" t="s">
        <v>377</v>
      </c>
      <c r="E329" s="11" t="s">
        <v>35</v>
      </c>
      <c r="F329" s="89"/>
      <c r="G329" s="11" t="s">
        <v>137</v>
      </c>
      <c r="H329" s="89"/>
      <c r="I329" s="12"/>
      <c r="J329" s="12"/>
      <c r="K329" s="12"/>
      <c r="L329" s="12"/>
      <c r="M329" s="12"/>
      <c r="N329" s="12"/>
      <c r="O329" s="12"/>
      <c r="P329" s="12"/>
      <c r="Q329" s="12"/>
      <c r="R329" s="12"/>
      <c r="S329" s="12"/>
      <c r="T329" s="12"/>
      <c r="U329" s="12"/>
      <c r="V329" s="12"/>
      <c r="W329" s="12"/>
      <c r="X329" s="791"/>
      <c r="Y329" s="12"/>
      <c r="Z329" s="12"/>
      <c r="AA329" s="12"/>
      <c r="AB329" s="12"/>
      <c r="AC329" s="12"/>
      <c r="AD329" s="12"/>
      <c r="AE329" s="12"/>
      <c r="AF329" s="12"/>
      <c r="AG329" s="12"/>
      <c r="AH329" s="12"/>
      <c r="AI329" s="12"/>
      <c r="AJ329" s="12"/>
      <c r="AK329" s="12"/>
      <c r="AL329" s="12"/>
      <c r="AM329" s="12"/>
      <c r="AN329" s="12"/>
      <c r="AO329" s="12"/>
      <c r="AP329" s="161"/>
      <c r="AQ329" s="161"/>
      <c r="AR329" s="168">
        <f>AR323</f>
        <v>380.97920711840749</v>
      </c>
      <c r="AS329" s="11">
        <v>387.7028278091924</v>
      </c>
      <c r="AT329" s="11">
        <v>494.21748623655503</v>
      </c>
      <c r="AU329" s="11">
        <v>497.54047226886672</v>
      </c>
      <c r="AV329" s="11">
        <v>497.54047226886672</v>
      </c>
      <c r="AW329" s="11">
        <v>497.54047226886672</v>
      </c>
      <c r="AX329" s="11">
        <v>497.54047226886672</v>
      </c>
      <c r="AY329" s="11">
        <v>497.54047226886672</v>
      </c>
      <c r="AZ329" s="11">
        <v>497.54047226886672</v>
      </c>
      <c r="BA329" s="11">
        <v>497.54047226886672</v>
      </c>
      <c r="BB329" s="11">
        <v>497.54047226886672</v>
      </c>
      <c r="BC329" s="11">
        <v>497.54047226886672</v>
      </c>
      <c r="BD329" s="11">
        <v>497.54047226886672</v>
      </c>
      <c r="BE329" s="11">
        <v>497.54047226886672</v>
      </c>
      <c r="BF329" s="11">
        <v>497.54047226886672</v>
      </c>
      <c r="BG329" s="11">
        <v>497.54047226886672</v>
      </c>
      <c r="BH329" s="11">
        <v>497.54047226886672</v>
      </c>
      <c r="BI329" s="11">
        <v>497.54047226886672</v>
      </c>
      <c r="BJ329" s="11">
        <v>497.54047226886672</v>
      </c>
      <c r="BK329" s="11">
        <v>497.54047226886672</v>
      </c>
      <c r="BL329" s="11">
        <v>497.54047226886672</v>
      </c>
      <c r="BM329" s="11">
        <v>497.54047226886672</v>
      </c>
      <c r="BN329" s="11">
        <v>497.54047226886672</v>
      </c>
      <c r="BO329" s="11">
        <v>497.54047226886672</v>
      </c>
      <c r="BP329" s="11">
        <v>497.54047226886672</v>
      </c>
      <c r="BQ329" s="11">
        <v>497.54047226886672</v>
      </c>
      <c r="BR329" s="11">
        <v>497.54047226886672</v>
      </c>
      <c r="BS329" s="11">
        <v>497.54047226886672</v>
      </c>
      <c r="BT329" s="11">
        <v>497.54047226886672</v>
      </c>
      <c r="BU329" s="11">
        <v>497.54047226886672</v>
      </c>
      <c r="BV329" s="11">
        <v>497.54047226886672</v>
      </c>
    </row>
    <row r="330" spans="1:74" s="68" customFormat="1" ht="18" customHeight="1" x14ac:dyDescent="0.4">
      <c r="A330" s="859"/>
      <c r="B330" s="848" t="s">
        <v>356</v>
      </c>
      <c r="C330" s="866" t="str">
        <f t="shared" si="121"/>
        <v>2C3Emissions (ETS)kt CO2eq WEM</v>
      </c>
      <c r="D330" s="891" t="s">
        <v>377</v>
      </c>
      <c r="E330" s="11" t="s">
        <v>15</v>
      </c>
      <c r="F330" s="89"/>
      <c r="G330" s="11" t="s">
        <v>136</v>
      </c>
      <c r="H330" s="89"/>
      <c r="I330" s="12"/>
      <c r="J330" s="12"/>
      <c r="K330" s="12"/>
      <c r="L330" s="12"/>
      <c r="M330" s="12"/>
      <c r="N330" s="12"/>
      <c r="O330" s="12"/>
      <c r="P330" s="12"/>
      <c r="Q330" s="12"/>
      <c r="R330" s="12"/>
      <c r="S330" s="12"/>
      <c r="T330" s="12"/>
      <c r="U330" s="12"/>
      <c r="V330" s="12"/>
      <c r="W330" s="12"/>
      <c r="X330" s="791"/>
      <c r="Y330" s="12"/>
      <c r="Z330" s="12"/>
      <c r="AA330" s="12"/>
      <c r="AB330" s="12"/>
      <c r="AC330" s="12"/>
      <c r="AD330" s="12"/>
      <c r="AE330" s="12"/>
      <c r="AF330" s="12"/>
      <c r="AG330" s="12"/>
      <c r="AH330" s="12"/>
      <c r="AI330" s="12"/>
      <c r="AJ330" s="12"/>
      <c r="AK330" s="12"/>
      <c r="AL330" s="12"/>
      <c r="AM330" s="12"/>
      <c r="AN330" s="12"/>
      <c r="AO330" s="12"/>
      <c r="AP330" s="161"/>
      <c r="AQ330" s="161"/>
      <c r="AR330" s="168">
        <f>AR324</f>
        <v>1290.3163042728158</v>
      </c>
      <c r="AS330" s="11">
        <v>1238.4632851890212</v>
      </c>
      <c r="AT330" s="11">
        <v>1404.0426698280294</v>
      </c>
      <c r="AU330" s="11">
        <v>1411.1787353155373</v>
      </c>
      <c r="AV330" s="11">
        <v>1410.2188045743831</v>
      </c>
      <c r="AW330" s="11">
        <v>1410.5676999946609</v>
      </c>
      <c r="AX330" s="11">
        <v>1410.7406307681902</v>
      </c>
      <c r="AY330" s="11">
        <v>1411.7979355852935</v>
      </c>
      <c r="AZ330" s="11">
        <v>1411.0895261884682</v>
      </c>
      <c r="BA330" s="11">
        <v>1411.263973898607</v>
      </c>
      <c r="BB330" s="11">
        <v>1411.263973898607</v>
      </c>
      <c r="BC330" s="11">
        <v>1416.4094228794024</v>
      </c>
      <c r="BD330" s="11">
        <v>1415.5144302795591</v>
      </c>
      <c r="BE330" s="11">
        <v>1415.5144302795591</v>
      </c>
      <c r="BF330" s="11">
        <v>1415.5144302795591</v>
      </c>
      <c r="BG330" s="11">
        <v>1416.4094228794024</v>
      </c>
      <c r="BH330" s="11">
        <v>1415.5144302795591</v>
      </c>
      <c r="BI330" s="11">
        <v>1415.5144302795591</v>
      </c>
      <c r="BJ330" s="11">
        <v>1415.5144302795591</v>
      </c>
      <c r="BK330" s="11">
        <v>1416.4094228794024</v>
      </c>
      <c r="BL330" s="11">
        <v>1415.5144302795591</v>
      </c>
      <c r="BM330" s="11">
        <v>1415.5144302795591</v>
      </c>
      <c r="BN330" s="11">
        <v>1415.5144302795591</v>
      </c>
      <c r="BO330" s="11">
        <v>1416.4094228794024</v>
      </c>
      <c r="BP330" s="11">
        <v>1415.5144302795591</v>
      </c>
      <c r="BQ330" s="11">
        <v>1415.5144302795591</v>
      </c>
      <c r="BR330" s="11">
        <v>1415.5144302795591</v>
      </c>
      <c r="BS330" s="11">
        <v>1416.4094228794024</v>
      </c>
      <c r="BT330" s="11">
        <v>1415.5144302795591</v>
      </c>
      <c r="BU330" s="11">
        <v>1415.5144302795591</v>
      </c>
      <c r="BV330" s="11">
        <v>1415.5144302795591</v>
      </c>
    </row>
    <row r="331" spans="1:74" ht="18" customHeight="1" x14ac:dyDescent="0.4">
      <c r="B331" s="848" t="s">
        <v>78</v>
      </c>
      <c r="C331" s="866" t="str">
        <f t="shared" si="121"/>
        <v>ETS TotalGHGskt CO2eq WEM</v>
      </c>
      <c r="D331" s="891" t="s">
        <v>377</v>
      </c>
      <c r="E331" s="14" t="s">
        <v>117</v>
      </c>
      <c r="F331" s="89"/>
      <c r="G331" s="14"/>
      <c r="H331" s="89"/>
      <c r="I331" s="12"/>
      <c r="J331" s="12"/>
      <c r="K331" s="12"/>
      <c r="L331" s="12"/>
      <c r="M331" s="12"/>
      <c r="N331" s="12"/>
      <c r="O331" s="12"/>
      <c r="P331" s="12"/>
      <c r="Q331" s="12"/>
      <c r="R331" s="12"/>
      <c r="S331" s="12"/>
      <c r="T331" s="12"/>
      <c r="U331" s="12"/>
      <c r="V331" s="12"/>
      <c r="W331" s="12"/>
      <c r="X331" s="791"/>
      <c r="Y331" s="12"/>
      <c r="Z331" s="12"/>
      <c r="AA331" s="12"/>
      <c r="AB331" s="12"/>
      <c r="AC331" s="12"/>
      <c r="AD331" s="12"/>
      <c r="AE331" s="12"/>
      <c r="AF331" s="12"/>
      <c r="AG331" s="12"/>
      <c r="AH331" s="12"/>
      <c r="AI331" s="12"/>
      <c r="AJ331" s="12"/>
      <c r="AK331" s="12"/>
      <c r="AL331" s="12"/>
      <c r="AM331" s="12"/>
      <c r="AN331" s="12"/>
      <c r="AO331" s="12"/>
      <c r="AP331" s="161"/>
      <c r="AQ331" s="161"/>
      <c r="AR331" s="168">
        <f>AR325</f>
        <v>1676.5843667418656</v>
      </c>
      <c r="AS331" s="89">
        <v>1631.9466973270371</v>
      </c>
      <c r="AT331" s="89">
        <v>1904.0298158776088</v>
      </c>
      <c r="AU331" s="89">
        <v>1914.475235429524</v>
      </c>
      <c r="AV331" s="89">
        <v>1913.4440183740917</v>
      </c>
      <c r="AW331" s="697">
        <v>1913.7156316752432</v>
      </c>
      <c r="AX331" s="89">
        <v>1913.8246614724362</v>
      </c>
      <c r="AY331" s="89">
        <v>1914.808175695794</v>
      </c>
      <c r="AZ331" s="89">
        <v>1914.0234314843071</v>
      </c>
      <c r="BA331" s="89">
        <v>1914.1184826799511</v>
      </c>
      <c r="BB331" s="697">
        <v>1914.0238140019958</v>
      </c>
      <c r="BC331" s="89">
        <v>1919.071691509678</v>
      </c>
      <c r="BD331" s="89">
        <v>1918.0694043905851</v>
      </c>
      <c r="BE331" s="89">
        <v>1917.9468260939689</v>
      </c>
      <c r="BF331" s="89">
        <v>1917.8203330733886</v>
      </c>
      <c r="BG331" s="89">
        <v>1918.5759976232921</v>
      </c>
      <c r="BH331" s="89">
        <v>1917.5487540064582</v>
      </c>
      <c r="BI331" s="89">
        <v>1917.4028046302799</v>
      </c>
      <c r="BJ331" s="89">
        <v>1917.2447157370846</v>
      </c>
      <c r="BK331" s="89">
        <v>1917.9715541359842</v>
      </c>
      <c r="BL331" s="89">
        <v>1916.8992027431334</v>
      </c>
      <c r="BM331" s="89">
        <v>1916.7127222142813</v>
      </c>
      <c r="BN331" s="89">
        <v>1916.5090728191381</v>
      </c>
      <c r="BO331" s="89">
        <v>1917.1885923459397</v>
      </c>
      <c r="BP331" s="89">
        <v>1916.0689401875134</v>
      </c>
      <c r="BQ331" s="89">
        <v>1915.8275529730324</v>
      </c>
      <c r="BR331" s="89">
        <v>1915.5774296325615</v>
      </c>
      <c r="BS331" s="89">
        <v>1916.2103737461462</v>
      </c>
      <c r="BT331" s="89">
        <v>1915.0441505529009</v>
      </c>
      <c r="BU331" s="89">
        <v>1914.7576211454825</v>
      </c>
      <c r="BV331" s="89">
        <v>1914.46150384923</v>
      </c>
    </row>
    <row r="332" spans="1:74" s="68" customFormat="1" ht="15" customHeight="1" x14ac:dyDescent="0.4">
      <c r="A332" s="859"/>
      <c r="B332" s="843"/>
      <c r="C332" s="869"/>
      <c r="D332" s="891"/>
      <c r="E332" s="35"/>
      <c r="F332" s="90"/>
      <c r="G332" s="35"/>
      <c r="H332" s="90"/>
      <c r="I332" s="47"/>
      <c r="J332" s="47"/>
      <c r="K332" s="47"/>
      <c r="L332" s="47"/>
      <c r="M332" s="47"/>
      <c r="N332" s="47"/>
      <c r="O332" s="47"/>
      <c r="P332" s="47"/>
      <c r="Q332" s="47"/>
      <c r="R332" s="47"/>
      <c r="S332" s="47"/>
      <c r="T332" s="47"/>
      <c r="U332" s="47"/>
      <c r="V332" s="47"/>
      <c r="W332" s="47"/>
      <c r="X332" s="794"/>
      <c r="Y332" s="50"/>
      <c r="Z332" s="50"/>
      <c r="AA332" s="50"/>
      <c r="AB332" s="50"/>
      <c r="AC332" s="50"/>
      <c r="AD332" s="50"/>
      <c r="AE332" s="50"/>
      <c r="AF332" s="50"/>
      <c r="AG332" s="50"/>
      <c r="AH332" s="50"/>
      <c r="AI332" s="50"/>
      <c r="AJ332" s="50"/>
      <c r="AK332" s="50"/>
      <c r="AL332" s="50"/>
      <c r="AM332" s="50"/>
      <c r="AN332" s="50"/>
      <c r="AO332" s="50"/>
      <c r="AP332" s="50"/>
      <c r="AQ332" s="50"/>
      <c r="AR332" s="90"/>
      <c r="AS332" s="5"/>
      <c r="AT332" s="5"/>
      <c r="AU332" s="5"/>
      <c r="AV332" s="5"/>
      <c r="AW332" s="5"/>
      <c r="AX332" s="5"/>
      <c r="AY332" s="5"/>
      <c r="AZ332" s="5"/>
      <c r="BA332" s="5"/>
      <c r="BB332" s="793"/>
      <c r="BC332" s="5"/>
      <c r="BD332" s="5"/>
      <c r="BE332" s="5"/>
      <c r="BF332" s="5"/>
      <c r="BG332" s="5"/>
      <c r="BH332" s="5"/>
      <c r="BI332" s="5"/>
      <c r="BJ332" s="5"/>
      <c r="BK332" s="5"/>
      <c r="BL332" s="5"/>
      <c r="BM332" s="5"/>
      <c r="BN332" s="5"/>
      <c r="BO332" s="5"/>
      <c r="BP332" s="5"/>
      <c r="BQ332" s="5"/>
      <c r="BR332" s="5"/>
      <c r="BS332" s="5"/>
      <c r="BT332" s="5"/>
      <c r="BU332" s="5"/>
      <c r="BV332" s="5"/>
    </row>
    <row r="333" spans="1:74" s="1209" customFormat="1" ht="47.4" customHeight="1" x14ac:dyDescent="0.7">
      <c r="A333" s="1150"/>
      <c r="B333" s="840"/>
      <c r="C333" s="872" t="s">
        <v>44</v>
      </c>
      <c r="D333" s="1190"/>
      <c r="E333" s="1135" t="s">
        <v>434</v>
      </c>
      <c r="F333" s="1040"/>
      <c r="G333" s="1208"/>
      <c r="H333" s="1040"/>
      <c r="I333" s="1208"/>
      <c r="J333" s="1208"/>
      <c r="K333" s="1208"/>
      <c r="L333" s="1208"/>
      <c r="M333" s="1208"/>
      <c r="N333" s="1208"/>
      <c r="O333" s="1208"/>
      <c r="P333" s="1208"/>
      <c r="Q333" s="1208"/>
      <c r="R333" s="1208"/>
      <c r="S333" s="1208"/>
      <c r="T333" s="1208"/>
      <c r="U333" s="1208"/>
      <c r="V333" s="1208"/>
      <c r="W333" s="1208"/>
      <c r="X333" s="1314"/>
      <c r="Y333" s="354"/>
      <c r="Z333" s="354"/>
      <c r="AA333" s="354"/>
      <c r="AB333" s="354"/>
      <c r="AC333" s="354"/>
      <c r="AD333" s="354"/>
      <c r="AE333" s="354"/>
      <c r="AF333" s="354"/>
      <c r="AG333" s="354"/>
      <c r="AH333" s="354"/>
      <c r="AI333" s="354"/>
      <c r="AJ333" s="354"/>
      <c r="AK333" s="354"/>
      <c r="AL333" s="354"/>
      <c r="AM333" s="354"/>
      <c r="AN333" s="354"/>
      <c r="AW333" s="1210"/>
      <c r="BB333" s="1211"/>
    </row>
    <row r="334" spans="1:74" s="1221" customFormat="1" ht="48" customHeight="1" x14ac:dyDescent="0.4">
      <c r="A334" s="1213"/>
      <c r="B334" s="1214"/>
      <c r="C334" s="873"/>
      <c r="D334" s="1215"/>
      <c r="E334" s="1138"/>
      <c r="F334" s="1216"/>
      <c r="G334" s="1217"/>
      <c r="H334" s="1216"/>
      <c r="I334" s="1217"/>
      <c r="J334" s="1217"/>
      <c r="K334" s="1217"/>
      <c r="L334" s="1217"/>
      <c r="M334" s="1217"/>
      <c r="N334" s="1217"/>
      <c r="O334" s="1217"/>
      <c r="P334" s="1217"/>
      <c r="Q334" s="1217"/>
      <c r="R334" s="1217"/>
      <c r="S334" s="1217"/>
      <c r="T334" s="1217"/>
      <c r="U334" s="1217"/>
      <c r="V334" s="1217"/>
      <c r="W334" s="1217"/>
      <c r="X334" s="1315"/>
      <c r="Y334" s="1218"/>
      <c r="Z334" s="1218"/>
      <c r="AA334" s="1218"/>
      <c r="AB334" s="1218"/>
      <c r="AC334" s="1218"/>
      <c r="AD334" s="1218"/>
      <c r="AE334" s="1218"/>
      <c r="AF334" s="1218"/>
      <c r="AG334" s="1218"/>
      <c r="AH334" s="1218"/>
      <c r="AI334" s="1218"/>
      <c r="AJ334" s="1218"/>
      <c r="AK334" s="1218"/>
      <c r="AL334" s="1218"/>
      <c r="AM334" s="1218"/>
      <c r="AN334" s="1218"/>
      <c r="AO334" s="1218"/>
      <c r="AP334" s="1218"/>
      <c r="AQ334" s="1218"/>
      <c r="AR334" s="1218"/>
      <c r="AS334" s="1218"/>
      <c r="AT334" s="1218"/>
      <c r="AU334" s="1218"/>
      <c r="AV334" s="1218"/>
      <c r="AW334" s="1219"/>
      <c r="AX334" s="1218"/>
      <c r="AY334" s="1218"/>
      <c r="AZ334" s="1218"/>
      <c r="BA334" s="1218"/>
      <c r="BB334" s="1220"/>
      <c r="BC334" s="1218"/>
      <c r="BD334" s="1218"/>
      <c r="BE334" s="1218"/>
      <c r="BF334" s="1218"/>
      <c r="BG334" s="1218"/>
      <c r="BH334" s="1218"/>
      <c r="BI334" s="1218"/>
      <c r="BJ334" s="1218"/>
      <c r="BK334" s="1218"/>
      <c r="BL334" s="1218"/>
      <c r="BM334" s="1218"/>
      <c r="BN334" s="1218"/>
      <c r="BO334" s="1218"/>
      <c r="BP334" s="1218"/>
      <c r="BQ334" s="1218"/>
      <c r="BR334" s="1218"/>
      <c r="BS334" s="1218"/>
      <c r="BT334" s="1218"/>
      <c r="BU334" s="1218"/>
      <c r="BV334" s="1218"/>
    </row>
    <row r="335" spans="1:74" s="85" customFormat="1" x14ac:dyDescent="0.4">
      <c r="A335" s="860"/>
      <c r="B335" s="839"/>
      <c r="C335" s="869" t="s">
        <v>44</v>
      </c>
      <c r="D335" s="891"/>
      <c r="E335" s="621" t="str">
        <f>$E$5</f>
        <v>Söguleg losun</v>
      </c>
      <c r="F335" s="429"/>
      <c r="G335" s="621" t="s">
        <v>330</v>
      </c>
      <c r="H335" s="429"/>
      <c r="I335" s="5"/>
      <c r="J335" s="5"/>
      <c r="K335" s="5"/>
      <c r="L335" s="5"/>
      <c r="M335" s="5"/>
      <c r="N335" s="5"/>
      <c r="O335" s="5"/>
      <c r="P335" s="5"/>
      <c r="Q335" s="5"/>
      <c r="R335" s="5"/>
      <c r="S335" s="5"/>
      <c r="T335" s="5"/>
      <c r="U335" s="5"/>
      <c r="V335" s="5"/>
      <c r="W335" s="5"/>
      <c r="X335" s="793"/>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621"/>
      <c r="AX335" s="5"/>
      <c r="AY335" s="5"/>
      <c r="AZ335" s="5"/>
      <c r="BA335" s="5"/>
      <c r="BB335" s="793"/>
      <c r="BC335" s="5"/>
      <c r="BD335" s="5"/>
      <c r="BE335" s="5"/>
      <c r="BF335" s="5"/>
      <c r="BG335" s="5"/>
      <c r="BH335" s="5"/>
      <c r="BI335" s="5"/>
      <c r="BJ335" s="5"/>
      <c r="BK335" s="5"/>
      <c r="BL335" s="5"/>
      <c r="BM335" s="5"/>
      <c r="BN335" s="5"/>
      <c r="BO335" s="5"/>
      <c r="BP335" s="5"/>
      <c r="BQ335" s="5"/>
      <c r="BR335" s="5"/>
      <c r="BS335" s="5"/>
      <c r="BT335" s="5"/>
      <c r="BU335" s="5"/>
      <c r="BV335" s="5"/>
    </row>
    <row r="336" spans="1:74" s="50" customFormat="1" ht="18" customHeight="1" x14ac:dyDescent="0.4">
      <c r="A336" s="856"/>
      <c r="B336" s="839" t="s">
        <v>68</v>
      </c>
      <c r="C336" s="869" t="str">
        <f t="shared" ref="C336:C341" si="122">B336</f>
        <v>4.A Forest Landkt CO2-eq</v>
      </c>
      <c r="D336" s="891" t="s">
        <v>44</v>
      </c>
      <c r="E336" s="11" t="s">
        <v>84</v>
      </c>
      <c r="F336" s="89"/>
      <c r="G336" s="10" t="s">
        <v>174</v>
      </c>
      <c r="H336" s="89"/>
      <c r="I336" s="12"/>
      <c r="J336" s="12"/>
      <c r="K336" s="12"/>
      <c r="L336" s="12"/>
      <c r="M336" s="12"/>
      <c r="N336" s="12"/>
      <c r="O336" s="12"/>
      <c r="P336" s="12"/>
      <c r="Q336" s="12"/>
      <c r="R336" s="12"/>
      <c r="S336" s="12"/>
      <c r="T336" s="12"/>
      <c r="U336" s="12"/>
      <c r="V336" s="12"/>
      <c r="W336" s="12"/>
      <c r="X336" s="704">
        <v>-146.23533417008338</v>
      </c>
      <c r="Y336" s="11">
        <v>-153.26012993713954</v>
      </c>
      <c r="Z336" s="11">
        <v>-271.2299744752525</v>
      </c>
      <c r="AA336" s="11">
        <v>-275.51343668427478</v>
      </c>
      <c r="AB336" s="11">
        <v>-288.43675180059307</v>
      </c>
      <c r="AC336" s="11">
        <v>-311.66248287269843</v>
      </c>
      <c r="AD336" s="11">
        <v>-339.33829162326816</v>
      </c>
      <c r="AE336" s="11">
        <v>-349.94447073583871</v>
      </c>
      <c r="AF336" s="11">
        <v>-368.40232096472238</v>
      </c>
      <c r="AG336" s="11">
        <v>-391.24425872539143</v>
      </c>
      <c r="AH336" s="11">
        <v>-416.62145516485214</v>
      </c>
      <c r="AI336" s="11">
        <v>-440.630947883472</v>
      </c>
      <c r="AJ336" s="11">
        <v>-479.0867181467512</v>
      </c>
      <c r="AK336" s="11">
        <v>-508.46288133332251</v>
      </c>
      <c r="AL336" s="11">
        <v>-509.99055054524518</v>
      </c>
      <c r="AM336" s="11">
        <v>-513.99765483315161</v>
      </c>
      <c r="AN336" s="11">
        <v>-516.40687686312754</v>
      </c>
      <c r="AO336" s="11">
        <v>-545.81520571972464</v>
      </c>
      <c r="AP336" s="11">
        <v>-536.85907215301847</v>
      </c>
      <c r="AQ336" s="11">
        <v>-534.16681294223883</v>
      </c>
      <c r="AR336" s="11">
        <v>-569.03313713696218</v>
      </c>
      <c r="AS336" s="12"/>
      <c r="AT336" s="12"/>
      <c r="AU336" s="12"/>
      <c r="AV336" s="12"/>
      <c r="AW336" s="689"/>
      <c r="AX336" s="12"/>
      <c r="AY336" s="12"/>
      <c r="AZ336" s="12"/>
      <c r="BA336" s="12"/>
      <c r="BB336" s="791"/>
      <c r="BC336" s="12"/>
      <c r="BD336" s="12"/>
      <c r="BE336" s="12"/>
      <c r="BF336" s="12"/>
      <c r="BG336" s="12"/>
      <c r="BH336" s="12"/>
      <c r="BI336" s="12"/>
      <c r="BJ336" s="12"/>
      <c r="BK336" s="12"/>
      <c r="BL336" s="12"/>
      <c r="BM336" s="12"/>
      <c r="BN336" s="12"/>
      <c r="BO336" s="12"/>
      <c r="BP336" s="12"/>
      <c r="BQ336" s="12"/>
      <c r="BR336" s="12"/>
      <c r="BS336" s="12"/>
      <c r="BT336" s="12"/>
      <c r="BU336" s="12"/>
      <c r="BV336" s="12"/>
    </row>
    <row r="337" spans="1:74" s="50" customFormat="1" ht="18" customHeight="1" x14ac:dyDescent="0.4">
      <c r="A337" s="856"/>
      <c r="B337" s="839" t="s">
        <v>69</v>
      </c>
      <c r="C337" s="869" t="str">
        <f t="shared" si="122"/>
        <v>4.B Croplandkt CO2-eq</v>
      </c>
      <c r="D337" s="891" t="s">
        <v>44</v>
      </c>
      <c r="E337" s="11" t="s">
        <v>108</v>
      </c>
      <c r="F337" s="89"/>
      <c r="G337" s="10" t="s">
        <v>130</v>
      </c>
      <c r="H337" s="89"/>
      <c r="I337" s="12"/>
      <c r="J337" s="12"/>
      <c r="K337" s="12"/>
      <c r="L337" s="12"/>
      <c r="M337" s="12"/>
      <c r="N337" s="12"/>
      <c r="O337" s="12"/>
      <c r="P337" s="12"/>
      <c r="Q337" s="12"/>
      <c r="R337" s="12"/>
      <c r="S337" s="12"/>
      <c r="T337" s="12"/>
      <c r="U337" s="12"/>
      <c r="V337" s="12"/>
      <c r="W337" s="12"/>
      <c r="X337" s="704">
        <v>2071.1470824709877</v>
      </c>
      <c r="Y337" s="11">
        <v>2063.2521326489423</v>
      </c>
      <c r="Z337" s="11">
        <v>2055.2952194099053</v>
      </c>
      <c r="AA337" s="11">
        <v>2047.369504154949</v>
      </c>
      <c r="AB337" s="11">
        <v>1995.5861041753369</v>
      </c>
      <c r="AC337" s="11">
        <v>1961.9909072066107</v>
      </c>
      <c r="AD337" s="11">
        <v>1928.2361178632752</v>
      </c>
      <c r="AE337" s="11">
        <v>1894.3202395708979</v>
      </c>
      <c r="AF337" s="11">
        <v>1860.2417546047302</v>
      </c>
      <c r="AG337" s="11">
        <v>1825.9991236892802</v>
      </c>
      <c r="AH337" s="11">
        <v>1792.7549377724179</v>
      </c>
      <c r="AI337" s="11">
        <v>1757.3863735670666</v>
      </c>
      <c r="AJ337" s="11">
        <v>1722.6472788228957</v>
      </c>
      <c r="AK337" s="11">
        <v>1687.7362017755754</v>
      </c>
      <c r="AL337" s="11">
        <v>1652.6537063184926</v>
      </c>
      <c r="AM337" s="11">
        <v>1617.4425304759459</v>
      </c>
      <c r="AN337" s="11">
        <v>1581.9655092131541</v>
      </c>
      <c r="AO337" s="11">
        <v>1648.3529157048454</v>
      </c>
      <c r="AP337" s="11">
        <v>1634.6762937066721</v>
      </c>
      <c r="AQ337" s="11">
        <v>1666.2365169720329</v>
      </c>
      <c r="AR337" s="11">
        <v>1574.5549406841444</v>
      </c>
      <c r="AS337" s="12"/>
      <c r="AT337" s="12"/>
      <c r="AU337" s="12"/>
      <c r="AV337" s="12"/>
      <c r="AW337" s="689"/>
      <c r="AX337" s="12"/>
      <c r="AY337" s="12"/>
      <c r="AZ337" s="12"/>
      <c r="BA337" s="12"/>
      <c r="BB337" s="791"/>
      <c r="BC337" s="12"/>
      <c r="BD337" s="12"/>
      <c r="BE337" s="12"/>
      <c r="BF337" s="12"/>
      <c r="BG337" s="12"/>
      <c r="BH337" s="12"/>
      <c r="BI337" s="12"/>
      <c r="BJ337" s="12"/>
      <c r="BK337" s="12"/>
      <c r="BL337" s="12"/>
      <c r="BM337" s="12"/>
      <c r="BN337" s="12"/>
      <c r="BO337" s="12"/>
      <c r="BP337" s="12"/>
      <c r="BQ337" s="12"/>
      <c r="BR337" s="12"/>
      <c r="BS337" s="12"/>
      <c r="BT337" s="12"/>
      <c r="BU337" s="12"/>
      <c r="BV337" s="12"/>
    </row>
    <row r="338" spans="1:74" s="50" customFormat="1" ht="18" customHeight="1" x14ac:dyDescent="0.4">
      <c r="A338" s="856"/>
      <c r="B338" s="839" t="s">
        <v>70</v>
      </c>
      <c r="C338" s="869" t="str">
        <f t="shared" si="122"/>
        <v>4.C Grasslandkt CO2-eq</v>
      </c>
      <c r="D338" s="891" t="s">
        <v>44</v>
      </c>
      <c r="E338" s="11" t="s">
        <v>28</v>
      </c>
      <c r="F338" s="89"/>
      <c r="G338" s="10" t="s">
        <v>131</v>
      </c>
      <c r="H338" s="89"/>
      <c r="I338" s="12"/>
      <c r="J338" s="12"/>
      <c r="K338" s="12"/>
      <c r="L338" s="12"/>
      <c r="M338" s="12"/>
      <c r="N338" s="12"/>
      <c r="O338" s="12"/>
      <c r="P338" s="12"/>
      <c r="Q338" s="12"/>
      <c r="R338" s="12"/>
      <c r="S338" s="12"/>
      <c r="T338" s="12"/>
      <c r="U338" s="12"/>
      <c r="V338" s="12"/>
      <c r="W338" s="12"/>
      <c r="X338" s="704">
        <v>4646.6745449617347</v>
      </c>
      <c r="Y338" s="11">
        <v>4709.6447456600163</v>
      </c>
      <c r="Z338" s="11">
        <v>4741.8115370644437</v>
      </c>
      <c r="AA338" s="11">
        <v>4796.998501269155</v>
      </c>
      <c r="AB338" s="11">
        <v>4820.859513330608</v>
      </c>
      <c r="AC338" s="11">
        <v>4833.6412044647068</v>
      </c>
      <c r="AD338" s="11">
        <v>4846.3361301245395</v>
      </c>
      <c r="AE338" s="11">
        <v>4864.8560683788801</v>
      </c>
      <c r="AF338" s="11">
        <v>4884.710479469134</v>
      </c>
      <c r="AG338" s="11">
        <v>4904.0874948131277</v>
      </c>
      <c r="AH338" s="11">
        <v>4921.9080237851422</v>
      </c>
      <c r="AI338" s="11">
        <v>4931.5692132362447</v>
      </c>
      <c r="AJ338" s="11">
        <v>4943.9497864089135</v>
      </c>
      <c r="AK338" s="11">
        <v>4963.5918517816626</v>
      </c>
      <c r="AL338" s="11">
        <v>4980.3641393675543</v>
      </c>
      <c r="AM338" s="11">
        <v>4994.7882683210446</v>
      </c>
      <c r="AN338" s="11">
        <v>5002.9875971906304</v>
      </c>
      <c r="AO338" s="11">
        <v>4987.9331553026677</v>
      </c>
      <c r="AP338" s="11">
        <v>5022.5767323179289</v>
      </c>
      <c r="AQ338" s="11">
        <v>5040.1354814222104</v>
      </c>
      <c r="AR338" s="11">
        <v>5024.8635353547543</v>
      </c>
      <c r="AS338" s="12"/>
      <c r="AT338" s="12"/>
      <c r="AU338" s="12"/>
      <c r="AV338" s="12"/>
      <c r="AW338" s="689"/>
      <c r="AX338" s="12"/>
      <c r="AY338" s="12"/>
      <c r="AZ338" s="12"/>
      <c r="BA338" s="12"/>
      <c r="BB338" s="791"/>
      <c r="BC338" s="12"/>
      <c r="BD338" s="12"/>
      <c r="BE338" s="12"/>
      <c r="BF338" s="12"/>
      <c r="BG338" s="12"/>
      <c r="BH338" s="12"/>
      <c r="BI338" s="12"/>
      <c r="BJ338" s="12"/>
      <c r="BK338" s="12"/>
      <c r="BL338" s="12"/>
      <c r="BM338" s="12"/>
      <c r="BN338" s="12"/>
      <c r="BO338" s="12"/>
      <c r="BP338" s="12"/>
      <c r="BQ338" s="12"/>
      <c r="BR338" s="12"/>
      <c r="BS338" s="12"/>
      <c r="BT338" s="12"/>
      <c r="BU338" s="12"/>
      <c r="BV338" s="12"/>
    </row>
    <row r="339" spans="1:74" s="50" customFormat="1" ht="18" customHeight="1" x14ac:dyDescent="0.4">
      <c r="A339" s="856"/>
      <c r="B339" s="839" t="s">
        <v>71</v>
      </c>
      <c r="C339" s="869" t="str">
        <f t="shared" si="122"/>
        <v>4.D Wetlandskt CO2-eq</v>
      </c>
      <c r="D339" s="891" t="s">
        <v>44</v>
      </c>
      <c r="E339" s="11" t="s">
        <v>29</v>
      </c>
      <c r="F339" s="89"/>
      <c r="G339" s="10" t="s">
        <v>132</v>
      </c>
      <c r="H339" s="89"/>
      <c r="I339" s="12"/>
      <c r="J339" s="12"/>
      <c r="K339" s="12"/>
      <c r="L339" s="12"/>
      <c r="M339" s="12"/>
      <c r="N339" s="12"/>
      <c r="O339" s="12"/>
      <c r="P339" s="12"/>
      <c r="Q339" s="12"/>
      <c r="R339" s="12"/>
      <c r="S339" s="12"/>
      <c r="T339" s="12"/>
      <c r="U339" s="12"/>
      <c r="V339" s="12"/>
      <c r="W339" s="12"/>
      <c r="X339" s="704">
        <v>19.443936711289375</v>
      </c>
      <c r="Y339" s="11">
        <v>21.607283726639984</v>
      </c>
      <c r="Z339" s="11">
        <v>20.494161746475509</v>
      </c>
      <c r="AA339" s="11">
        <v>20.538561427768151</v>
      </c>
      <c r="AB339" s="11">
        <v>21.029356724496331</v>
      </c>
      <c r="AC339" s="11">
        <v>21.158290146896274</v>
      </c>
      <c r="AD339" s="11">
        <v>15.686390391163</v>
      </c>
      <c r="AE339" s="11">
        <v>15.723695057829669</v>
      </c>
      <c r="AF339" s="11">
        <v>15.804207057829668</v>
      </c>
      <c r="AG339" s="11">
        <v>16.069981783977877</v>
      </c>
      <c r="AH339" s="11">
        <v>16.181055815110266</v>
      </c>
      <c r="AI339" s="11">
        <v>14.727682777528623</v>
      </c>
      <c r="AJ339" s="11">
        <v>14.859338689513955</v>
      </c>
      <c r="AK339" s="11">
        <v>14.79376238468563</v>
      </c>
      <c r="AL339" s="11">
        <v>15.279062184685632</v>
      </c>
      <c r="AM339" s="11">
        <v>16.320244942284972</v>
      </c>
      <c r="AN339" s="11">
        <v>16.762905784685628</v>
      </c>
      <c r="AO339" s="11">
        <v>17.110517451352298</v>
      </c>
      <c r="AP339" s="11">
        <v>17.149517784685631</v>
      </c>
      <c r="AQ339" s="11">
        <v>17.149632836863301</v>
      </c>
      <c r="AR339" s="11">
        <v>17.192248584685633</v>
      </c>
      <c r="AS339" s="12"/>
      <c r="AT339" s="12"/>
      <c r="AU339" s="12"/>
      <c r="AV339" s="12"/>
      <c r="AW339" s="689"/>
      <c r="AX339" s="12"/>
      <c r="AY339" s="12"/>
      <c r="AZ339" s="12"/>
      <c r="BA339" s="12"/>
      <c r="BB339" s="791"/>
      <c r="BC339" s="12"/>
      <c r="BD339" s="12"/>
      <c r="BE339" s="12"/>
      <c r="BF339" s="12"/>
      <c r="BG339" s="12"/>
      <c r="BH339" s="12"/>
      <c r="BI339" s="12"/>
      <c r="BJ339" s="12"/>
      <c r="BK339" s="12"/>
      <c r="BL339" s="12"/>
      <c r="BM339" s="12"/>
      <c r="BN339" s="12"/>
      <c r="BO339" s="12"/>
      <c r="BP339" s="12"/>
      <c r="BQ339" s="12"/>
      <c r="BR339" s="12"/>
      <c r="BS339" s="12"/>
      <c r="BT339" s="12"/>
      <c r="BU339" s="12"/>
      <c r="BV339" s="12"/>
    </row>
    <row r="340" spans="1:74" s="50" customFormat="1" ht="18" customHeight="1" x14ac:dyDescent="0.4">
      <c r="A340" s="856"/>
      <c r="B340" s="839" t="s">
        <v>85</v>
      </c>
      <c r="C340" s="869" t="str">
        <f t="shared" si="122"/>
        <v>LULUCF Annað</v>
      </c>
      <c r="D340" s="891" t="s">
        <v>44</v>
      </c>
      <c r="E340" s="11" t="s">
        <v>11</v>
      </c>
      <c r="F340" s="89"/>
      <c r="G340" s="10" t="s">
        <v>120</v>
      </c>
      <c r="H340" s="89"/>
      <c r="I340" s="12"/>
      <c r="J340" s="12"/>
      <c r="K340" s="12"/>
      <c r="L340" s="12"/>
      <c r="M340" s="12"/>
      <c r="N340" s="12"/>
      <c r="O340" s="12"/>
      <c r="P340" s="12"/>
      <c r="Q340" s="12"/>
      <c r="R340" s="12"/>
      <c r="S340" s="12"/>
      <c r="T340" s="12"/>
      <c r="U340" s="12"/>
      <c r="V340" s="12"/>
      <c r="W340" s="12"/>
      <c r="X340" s="704">
        <f t="shared" ref="X340:AR340" si="123">X$341-SUM(X$336:X$339)</f>
        <v>58.034931434498503</v>
      </c>
      <c r="Y340" s="11">
        <f t="shared" si="123"/>
        <v>60.655283053370113</v>
      </c>
      <c r="Z340" s="11">
        <f t="shared" si="123"/>
        <v>61.841899768905023</v>
      </c>
      <c r="AA340" s="11">
        <f t="shared" si="123"/>
        <v>63.979033298383001</v>
      </c>
      <c r="AB340" s="11">
        <f t="shared" si="123"/>
        <v>65.884472147194174</v>
      </c>
      <c r="AC340" s="11">
        <f t="shared" si="123"/>
        <v>50.616807397475895</v>
      </c>
      <c r="AD340" s="11">
        <f t="shared" si="123"/>
        <v>48.945145804827007</v>
      </c>
      <c r="AE340" s="11">
        <f t="shared" si="123"/>
        <v>47.560741841220988</v>
      </c>
      <c r="AF340" s="11">
        <f t="shared" si="123"/>
        <v>46.039473517285842</v>
      </c>
      <c r="AG340" s="11">
        <f t="shared" si="123"/>
        <v>44.42386498198357</v>
      </c>
      <c r="AH340" s="11">
        <f t="shared" si="123"/>
        <v>43.040364019388107</v>
      </c>
      <c r="AI340" s="11">
        <f t="shared" si="123"/>
        <v>41.498367910937304</v>
      </c>
      <c r="AJ340" s="11">
        <f t="shared" si="123"/>
        <v>39.919356681763929</v>
      </c>
      <c r="AK340" s="11">
        <f t="shared" si="123"/>
        <v>27.861142249304066</v>
      </c>
      <c r="AL340" s="11">
        <f t="shared" si="123"/>
        <v>25.621925565548736</v>
      </c>
      <c r="AM340" s="11">
        <f t="shared" si="123"/>
        <v>39.735400355536513</v>
      </c>
      <c r="AN340" s="11">
        <f t="shared" si="123"/>
        <v>49.536949132182599</v>
      </c>
      <c r="AO340" s="11">
        <f t="shared" si="123"/>
        <v>22.924044700901504</v>
      </c>
      <c r="AP340" s="11">
        <f t="shared" si="123"/>
        <v>25.005070861629974</v>
      </c>
      <c r="AQ340" s="11">
        <f t="shared" si="123"/>
        <v>26.561501825798587</v>
      </c>
      <c r="AR340" s="11">
        <f t="shared" si="123"/>
        <v>32.763450946138619</v>
      </c>
      <c r="AS340" s="12"/>
      <c r="AT340" s="12"/>
      <c r="AU340" s="12"/>
      <c r="AV340" s="12"/>
      <c r="AW340" s="689"/>
      <c r="AX340" s="12"/>
      <c r="AY340" s="12"/>
      <c r="AZ340" s="12"/>
      <c r="BA340" s="12"/>
      <c r="BB340" s="791"/>
      <c r="BC340" s="12"/>
      <c r="BD340" s="12"/>
      <c r="BE340" s="12"/>
      <c r="BF340" s="12"/>
      <c r="BG340" s="12"/>
      <c r="BH340" s="12"/>
      <c r="BI340" s="12"/>
      <c r="BJ340" s="12"/>
      <c r="BK340" s="12"/>
      <c r="BL340" s="12"/>
      <c r="BM340" s="12"/>
      <c r="BN340" s="12"/>
      <c r="BO340" s="12"/>
      <c r="BP340" s="12"/>
      <c r="BQ340" s="12"/>
      <c r="BR340" s="12"/>
      <c r="BS340" s="12"/>
      <c r="BT340" s="12"/>
      <c r="BU340" s="12"/>
      <c r="BV340" s="12"/>
    </row>
    <row r="341" spans="1:74" s="50" customFormat="1" ht="18" customHeight="1" x14ac:dyDescent="0.4">
      <c r="A341" s="856"/>
      <c r="B341" s="839" t="s">
        <v>41</v>
      </c>
      <c r="C341" s="869" t="str">
        <f t="shared" si="122"/>
        <v>4. LULUCFkt CO2-eq</v>
      </c>
      <c r="D341" s="891" t="s">
        <v>44</v>
      </c>
      <c r="E341" s="14" t="s">
        <v>117</v>
      </c>
      <c r="F341" s="89"/>
      <c r="G341" s="14"/>
      <c r="H341" s="89"/>
      <c r="I341" s="12"/>
      <c r="J341" s="12"/>
      <c r="K341" s="12"/>
      <c r="L341" s="12"/>
      <c r="M341" s="12"/>
      <c r="N341" s="12"/>
      <c r="O341" s="12"/>
      <c r="P341" s="12"/>
      <c r="Q341" s="12"/>
      <c r="R341" s="12"/>
      <c r="S341" s="12"/>
      <c r="T341" s="12"/>
      <c r="U341" s="12"/>
      <c r="V341" s="12"/>
      <c r="W341" s="12"/>
      <c r="X341" s="691">
        <v>6649.0651614084263</v>
      </c>
      <c r="Y341" s="14">
        <v>6701.8993151518289</v>
      </c>
      <c r="Z341" s="14">
        <v>6608.2128435144768</v>
      </c>
      <c r="AA341" s="14">
        <v>6653.3721634659805</v>
      </c>
      <c r="AB341" s="14">
        <v>6614.9226945770424</v>
      </c>
      <c r="AC341" s="14">
        <v>6555.7447263429913</v>
      </c>
      <c r="AD341" s="14">
        <v>6499.865492560536</v>
      </c>
      <c r="AE341" s="14">
        <v>6472.5162741129907</v>
      </c>
      <c r="AF341" s="14">
        <v>6438.3935936842572</v>
      </c>
      <c r="AG341" s="14">
        <v>6399.3362065429774</v>
      </c>
      <c r="AH341" s="14">
        <v>6357.2629262272067</v>
      </c>
      <c r="AI341" s="14">
        <v>6304.5506896083052</v>
      </c>
      <c r="AJ341" s="14">
        <v>6242.2890424563357</v>
      </c>
      <c r="AK341" s="14">
        <v>6185.5200768579052</v>
      </c>
      <c r="AL341" s="14">
        <v>6163.9282828910355</v>
      </c>
      <c r="AM341" s="14">
        <v>6154.28878926166</v>
      </c>
      <c r="AN341" s="14">
        <v>6134.8460844575247</v>
      </c>
      <c r="AO341" s="14">
        <v>6130.5054274400427</v>
      </c>
      <c r="AP341" s="14">
        <v>6162.5485425178977</v>
      </c>
      <c r="AQ341" s="14">
        <v>6215.9163201146666</v>
      </c>
      <c r="AR341" s="14">
        <v>6080.3410384327608</v>
      </c>
      <c r="AS341" s="12"/>
      <c r="AT341" s="12"/>
      <c r="AU341" s="12"/>
      <c r="AV341" s="12"/>
      <c r="AW341" s="689"/>
      <c r="AX341" s="12"/>
      <c r="AY341" s="12"/>
      <c r="AZ341" s="12"/>
      <c r="BA341" s="12"/>
      <c r="BB341" s="791"/>
      <c r="BC341" s="12"/>
      <c r="BD341" s="12"/>
      <c r="BE341" s="12"/>
      <c r="BF341" s="12"/>
      <c r="BG341" s="12"/>
      <c r="BH341" s="12"/>
      <c r="BI341" s="12"/>
      <c r="BJ341" s="12"/>
      <c r="BK341" s="12"/>
      <c r="BL341" s="12"/>
      <c r="BM341" s="12"/>
      <c r="BN341" s="12"/>
      <c r="BO341" s="12"/>
      <c r="BP341" s="12"/>
      <c r="BQ341" s="12"/>
      <c r="BR341" s="12"/>
      <c r="BS341" s="12"/>
      <c r="BT341" s="12"/>
      <c r="BU341" s="12"/>
      <c r="BV341" s="12"/>
    </row>
    <row r="342" spans="1:74" s="50" customFormat="1" ht="18" customHeight="1" x14ac:dyDescent="0.4">
      <c r="A342" s="856"/>
      <c r="B342" s="839"/>
      <c r="C342" s="869"/>
      <c r="D342" s="891"/>
      <c r="E342" s="35"/>
      <c r="F342" s="90"/>
      <c r="G342" s="35"/>
      <c r="H342" s="90"/>
      <c r="I342" s="180"/>
      <c r="J342" s="180"/>
      <c r="K342" s="180"/>
      <c r="L342" s="180"/>
      <c r="M342" s="180"/>
      <c r="N342" s="180"/>
      <c r="O342" s="180"/>
      <c r="P342" s="180"/>
      <c r="Q342" s="180"/>
      <c r="R342" s="180"/>
      <c r="S342" s="180"/>
      <c r="T342" s="180"/>
      <c r="U342" s="180"/>
      <c r="V342" s="180"/>
      <c r="W342" s="180"/>
      <c r="X342" s="82"/>
      <c r="Y342" s="35"/>
      <c r="Z342" s="35"/>
      <c r="AA342" s="35"/>
      <c r="AB342" s="35"/>
      <c r="AC342" s="35"/>
      <c r="AD342" s="35"/>
      <c r="AE342" s="35"/>
      <c r="AF342" s="35"/>
      <c r="AG342" s="35"/>
      <c r="AH342" s="35"/>
      <c r="AI342" s="35"/>
      <c r="AJ342" s="35"/>
      <c r="AK342" s="35"/>
      <c r="AL342" s="35"/>
      <c r="AM342" s="35"/>
      <c r="AN342" s="35"/>
      <c r="AO342" s="35"/>
      <c r="AP342" s="35"/>
      <c r="AQ342" s="35"/>
      <c r="AR342" s="35"/>
      <c r="AS342" s="180"/>
      <c r="AT342" s="180"/>
      <c r="AU342" s="180"/>
      <c r="AV342" s="180"/>
      <c r="AW342" s="690"/>
      <c r="AX342" s="180"/>
      <c r="AY342" s="180"/>
      <c r="AZ342" s="180"/>
      <c r="BA342" s="180"/>
      <c r="BB342" s="792"/>
      <c r="BC342" s="180"/>
      <c r="BD342" s="180"/>
      <c r="BE342" s="180"/>
      <c r="BF342" s="180"/>
      <c r="BG342" s="180"/>
      <c r="BH342" s="180"/>
      <c r="BI342" s="180"/>
      <c r="BJ342" s="180"/>
      <c r="BK342" s="180"/>
      <c r="BL342" s="180"/>
      <c r="BM342" s="180"/>
      <c r="BN342" s="180"/>
      <c r="BO342" s="180"/>
      <c r="BP342" s="180"/>
      <c r="BQ342" s="180"/>
      <c r="BR342" s="180"/>
      <c r="BS342" s="180"/>
      <c r="BT342" s="180"/>
      <c r="BU342" s="180"/>
      <c r="BV342" s="180"/>
    </row>
    <row r="343" spans="1:74" s="85" customFormat="1" x14ac:dyDescent="0.4">
      <c r="A343" s="860"/>
      <c r="B343" s="839"/>
      <c r="C343" s="869" t="s">
        <v>44</v>
      </c>
      <c r="D343" s="891"/>
      <c r="E343" s="629" t="str">
        <f>$E$14</f>
        <v>Losunarspá: Sviðsmynd byggð á aðgerðum stjórnvalda</v>
      </c>
      <c r="F343" s="625"/>
      <c r="G343" s="629" t="str">
        <f>$G$14</f>
        <v>Emission Projections: Government Policy-Based Scenario</v>
      </c>
      <c r="H343" s="625"/>
      <c r="I343" s="53"/>
      <c r="J343" s="53"/>
      <c r="K343" s="53"/>
      <c r="L343" s="53"/>
      <c r="M343" s="53"/>
      <c r="N343" s="53"/>
      <c r="O343" s="53"/>
      <c r="P343" s="53"/>
      <c r="Q343" s="53"/>
      <c r="R343" s="53"/>
      <c r="S343" s="53"/>
      <c r="T343" s="53"/>
      <c r="U343" s="53"/>
      <c r="V343" s="53"/>
      <c r="W343" s="53"/>
      <c r="X343" s="793"/>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621"/>
      <c r="AX343" s="5"/>
      <c r="AY343" s="5"/>
      <c r="AZ343" s="5"/>
      <c r="BA343" s="5"/>
      <c r="BB343" s="793"/>
      <c r="BC343" s="5"/>
      <c r="BD343" s="5"/>
      <c r="BE343" s="5"/>
      <c r="BF343" s="5"/>
      <c r="BG343" s="5"/>
      <c r="BH343" s="5"/>
      <c r="BI343" s="5"/>
      <c r="BJ343" s="5"/>
      <c r="BK343" s="5"/>
      <c r="BL343" s="5"/>
      <c r="BM343" s="5"/>
      <c r="BN343" s="5"/>
      <c r="BO343" s="5"/>
      <c r="BP343" s="5"/>
      <c r="BQ343" s="5"/>
      <c r="BR343" s="5"/>
      <c r="BS343" s="5"/>
      <c r="BT343" s="5"/>
      <c r="BU343" s="5"/>
      <c r="BV343" s="5"/>
    </row>
    <row r="344" spans="1:74" s="50" customFormat="1" ht="18" customHeight="1" x14ac:dyDescent="0.4">
      <c r="A344" s="856"/>
      <c r="B344" s="839" t="s">
        <v>68</v>
      </c>
      <c r="C344" s="866" t="str">
        <f t="shared" ref="C344" si="124">B344&amp;" "&amp;D344</f>
        <v>4.A Forest Landkt CO2-eq WEM</v>
      </c>
      <c r="D344" s="891" t="s">
        <v>377</v>
      </c>
      <c r="E344" s="11" t="s">
        <v>84</v>
      </c>
      <c r="F344" s="89"/>
      <c r="G344" s="10" t="s">
        <v>174</v>
      </c>
      <c r="H344" s="89"/>
      <c r="I344" s="12"/>
      <c r="J344" s="12"/>
      <c r="K344" s="12"/>
      <c r="L344" s="12"/>
      <c r="M344" s="12"/>
      <c r="N344" s="12"/>
      <c r="O344" s="12"/>
      <c r="P344" s="12"/>
      <c r="Q344" s="12"/>
      <c r="R344" s="12"/>
      <c r="S344" s="12"/>
      <c r="T344" s="12"/>
      <c r="U344" s="12"/>
      <c r="V344" s="12"/>
      <c r="W344" s="12"/>
      <c r="X344" s="791"/>
      <c r="Y344" s="12"/>
      <c r="Z344" s="12"/>
      <c r="AA344" s="12"/>
      <c r="AB344" s="12"/>
      <c r="AC344" s="12"/>
      <c r="AD344" s="12"/>
      <c r="AE344" s="12"/>
      <c r="AF344" s="12"/>
      <c r="AG344" s="12"/>
      <c r="AH344" s="12"/>
      <c r="AI344" s="12"/>
      <c r="AJ344" s="12"/>
      <c r="AK344" s="12"/>
      <c r="AL344" s="12"/>
      <c r="AM344" s="12"/>
      <c r="AN344" s="12"/>
      <c r="AO344" s="12"/>
      <c r="AP344" s="12"/>
      <c r="AQ344" s="12"/>
      <c r="AR344" s="161">
        <f t="shared" ref="AR344:AR349" si="125">AR336</f>
        <v>-569.03313713696218</v>
      </c>
      <c r="AS344" s="11">
        <v>-607.88738159883576</v>
      </c>
      <c r="AT344" s="11">
        <v>-645.36999498431226</v>
      </c>
      <c r="AU344" s="11">
        <v>-679.37893378488252</v>
      </c>
      <c r="AV344" s="11">
        <v>-714.05461069371995</v>
      </c>
      <c r="AW344" s="704">
        <v>-752.09903438702509</v>
      </c>
      <c r="AX344" s="11">
        <v>-789.80569345516653</v>
      </c>
      <c r="AY344" s="11">
        <v>-826.66010230243569</v>
      </c>
      <c r="AZ344" s="11">
        <v>-869.95668522307858</v>
      </c>
      <c r="BA344" s="11">
        <v>-910.98526056819503</v>
      </c>
      <c r="BB344" s="704">
        <v>-948.36229172077776</v>
      </c>
      <c r="BC344" s="11">
        <v>-988.28713278063674</v>
      </c>
      <c r="BD344" s="11">
        <v>-1028.324464626492</v>
      </c>
      <c r="BE344" s="11">
        <v>-1066.7369659405729</v>
      </c>
      <c r="BF344" s="11">
        <v>-1108.0312701916941</v>
      </c>
      <c r="BG344" s="11">
        <v>-1148.2109624656555</v>
      </c>
      <c r="BH344" s="11">
        <v>-1191.6314618479707</v>
      </c>
      <c r="BI344" s="11">
        <v>-1233.3537347775421</v>
      </c>
      <c r="BJ344" s="11">
        <v>-1279.0524697967167</v>
      </c>
      <c r="BK344" s="11">
        <v>-1332.5210086059276</v>
      </c>
      <c r="BL344" s="11">
        <v>-1377.5163702847128</v>
      </c>
      <c r="BM344" s="11">
        <v>-1435.0245260504175</v>
      </c>
      <c r="BN344" s="11">
        <v>-1491.5272093328688</v>
      </c>
      <c r="BO344" s="11">
        <v>-1544.4247782579375</v>
      </c>
      <c r="BP344" s="11">
        <v>-1597.0856801245097</v>
      </c>
      <c r="BQ344" s="11">
        <v>-1651.2351492616906</v>
      </c>
      <c r="BR344" s="11">
        <v>-1710.016971790511</v>
      </c>
      <c r="BS344" s="11">
        <v>-1762.4804915476409</v>
      </c>
      <c r="BT344" s="11">
        <v>-1818.8844526584987</v>
      </c>
      <c r="BU344" s="11">
        <v>-1879.1976143178231</v>
      </c>
      <c r="BV344" s="11">
        <v>-1935.487645372772</v>
      </c>
    </row>
    <row r="345" spans="1:74" s="50" customFormat="1" ht="18" customHeight="1" x14ac:dyDescent="0.4">
      <c r="A345" s="856"/>
      <c r="B345" s="839" t="s">
        <v>69</v>
      </c>
      <c r="C345" s="866" t="str">
        <f t="shared" ref="C345:C348" si="126">B345&amp;" "&amp;D345</f>
        <v>4.B Croplandkt CO2-eq WEM</v>
      </c>
      <c r="D345" s="891" t="s">
        <v>377</v>
      </c>
      <c r="E345" s="11" t="s">
        <v>108</v>
      </c>
      <c r="F345" s="89"/>
      <c r="G345" s="10" t="s">
        <v>130</v>
      </c>
      <c r="H345" s="89"/>
      <c r="I345" s="12"/>
      <c r="J345" s="12"/>
      <c r="K345" s="12"/>
      <c r="L345" s="12"/>
      <c r="M345" s="12"/>
      <c r="N345" s="12"/>
      <c r="O345" s="12"/>
      <c r="P345" s="12"/>
      <c r="Q345" s="12"/>
      <c r="R345" s="12"/>
      <c r="S345" s="12"/>
      <c r="T345" s="12"/>
      <c r="U345" s="12"/>
      <c r="V345" s="12"/>
      <c r="W345" s="12"/>
      <c r="X345" s="791"/>
      <c r="Y345" s="12"/>
      <c r="Z345" s="12"/>
      <c r="AA345" s="12"/>
      <c r="AB345" s="12"/>
      <c r="AC345" s="12"/>
      <c r="AD345" s="12"/>
      <c r="AE345" s="12"/>
      <c r="AF345" s="12"/>
      <c r="AG345" s="12"/>
      <c r="AH345" s="12"/>
      <c r="AI345" s="12"/>
      <c r="AJ345" s="12"/>
      <c r="AK345" s="12"/>
      <c r="AL345" s="12"/>
      <c r="AM345" s="12"/>
      <c r="AN345" s="12"/>
      <c r="AO345" s="12"/>
      <c r="AP345" s="12"/>
      <c r="AQ345" s="12"/>
      <c r="AR345" s="161">
        <f t="shared" si="125"/>
        <v>1574.5549406841444</v>
      </c>
      <c r="AS345" s="11">
        <v>1586.4616951439084</v>
      </c>
      <c r="AT345" s="11">
        <v>1586.383175889762</v>
      </c>
      <c r="AU345" s="11">
        <v>1586.3048742539411</v>
      </c>
      <c r="AV345" s="11">
        <v>1586.7719352788508</v>
      </c>
      <c r="AW345" s="704">
        <v>1587.2392129366028</v>
      </c>
      <c r="AX345" s="11">
        <v>1587.7067067369642</v>
      </c>
      <c r="AY345" s="11">
        <v>1588.174416191363</v>
      </c>
      <c r="AZ345" s="11">
        <v>1588.6423408128824</v>
      </c>
      <c r="BA345" s="11">
        <v>1589.1104801162537</v>
      </c>
      <c r="BB345" s="704">
        <v>1590.8460198998769</v>
      </c>
      <c r="BC345" s="11">
        <v>1590.4085507931536</v>
      </c>
      <c r="BD345" s="11">
        <v>1590.8769572605454</v>
      </c>
      <c r="BE345" s="11">
        <v>1591.3455769048708</v>
      </c>
      <c r="BF345" s="11">
        <v>1591.8144092480452</v>
      </c>
      <c r="BG345" s="11">
        <v>1592.2834538135901</v>
      </c>
      <c r="BH345" s="11">
        <v>1592.752710126626</v>
      </c>
      <c r="BI345" s="11">
        <v>1589.054441615966</v>
      </c>
      <c r="BJ345" s="11">
        <v>1587.715348650567</v>
      </c>
      <c r="BK345" s="11">
        <v>1585.4019401435598</v>
      </c>
      <c r="BL345" s="11">
        <v>1585.8720387295018</v>
      </c>
      <c r="BM345" s="11">
        <v>1585.9638471717451</v>
      </c>
      <c r="BN345" s="11">
        <v>1586.0558645453912</v>
      </c>
      <c r="BO345" s="11">
        <v>1586.148090386557</v>
      </c>
      <c r="BP345" s="11">
        <v>1586.2405242329032</v>
      </c>
      <c r="BQ345" s="11">
        <v>1586.3331656236278</v>
      </c>
      <c r="BR345" s="11">
        <v>1586.4260140994568</v>
      </c>
      <c r="BS345" s="11">
        <v>1586.5190692026401</v>
      </c>
      <c r="BT345" s="11">
        <v>1586.612330476944</v>
      </c>
      <c r="BU345" s="11">
        <v>1586.7057974676429</v>
      </c>
      <c r="BV345" s="11">
        <v>1586.7994697215147</v>
      </c>
    </row>
    <row r="346" spans="1:74" s="50" customFormat="1" ht="18" customHeight="1" x14ac:dyDescent="0.4">
      <c r="A346" s="856"/>
      <c r="B346" s="839" t="s">
        <v>70</v>
      </c>
      <c r="C346" s="866" t="str">
        <f t="shared" si="126"/>
        <v>4.C Grasslandkt CO2-eq WEM</v>
      </c>
      <c r="D346" s="891" t="s">
        <v>377</v>
      </c>
      <c r="E346" s="11" t="s">
        <v>28</v>
      </c>
      <c r="F346" s="89"/>
      <c r="G346" s="10" t="s">
        <v>131</v>
      </c>
      <c r="H346" s="89"/>
      <c r="I346" s="12"/>
      <c r="J346" s="12"/>
      <c r="K346" s="12"/>
      <c r="L346" s="12"/>
      <c r="M346" s="12"/>
      <c r="N346" s="12"/>
      <c r="O346" s="12"/>
      <c r="P346" s="12"/>
      <c r="Q346" s="12"/>
      <c r="R346" s="12"/>
      <c r="S346" s="12"/>
      <c r="T346" s="12"/>
      <c r="U346" s="12"/>
      <c r="V346" s="12"/>
      <c r="W346" s="12"/>
      <c r="X346" s="791"/>
      <c r="Y346" s="12"/>
      <c r="Z346" s="12"/>
      <c r="AA346" s="12"/>
      <c r="AB346" s="12"/>
      <c r="AC346" s="12"/>
      <c r="AD346" s="12"/>
      <c r="AE346" s="12"/>
      <c r="AF346" s="12"/>
      <c r="AG346" s="12"/>
      <c r="AH346" s="12"/>
      <c r="AI346" s="12"/>
      <c r="AJ346" s="12"/>
      <c r="AK346" s="12"/>
      <c r="AL346" s="12"/>
      <c r="AM346" s="12"/>
      <c r="AN346" s="12"/>
      <c r="AO346" s="12"/>
      <c r="AP346" s="12"/>
      <c r="AQ346" s="12"/>
      <c r="AR346" s="161">
        <f t="shared" si="125"/>
        <v>5024.8635353547543</v>
      </c>
      <c r="AS346" s="11">
        <v>4932.5260528629406</v>
      </c>
      <c r="AT346" s="11">
        <v>4842.022162207667</v>
      </c>
      <c r="AU346" s="11">
        <v>4751.8915931453566</v>
      </c>
      <c r="AV346" s="11">
        <v>4666.4532662077181</v>
      </c>
      <c r="AW346" s="704">
        <v>4583.2610903491659</v>
      </c>
      <c r="AX346" s="11">
        <v>4554.4854009525452</v>
      </c>
      <c r="AY346" s="11">
        <v>4526.5349021112925</v>
      </c>
      <c r="AZ346" s="11">
        <v>4502.3123934504747</v>
      </c>
      <c r="BA346" s="11">
        <v>4483.9135413600461</v>
      </c>
      <c r="BB346" s="704">
        <v>4471.6870754085439</v>
      </c>
      <c r="BC346" s="11">
        <v>4459.4573845531386</v>
      </c>
      <c r="BD346" s="11">
        <v>4480.5528309636366</v>
      </c>
      <c r="BE346" s="11">
        <v>4467.3651974799568</v>
      </c>
      <c r="BF346" s="11">
        <v>4454.2325430684014</v>
      </c>
      <c r="BG346" s="11">
        <v>4441.4207836901014</v>
      </c>
      <c r="BH346" s="11">
        <v>4420.9927217653649</v>
      </c>
      <c r="BI346" s="11">
        <v>4390.3978962480032</v>
      </c>
      <c r="BJ346" s="11">
        <v>4364.264904006508</v>
      </c>
      <c r="BK346" s="11">
        <v>4338.2417875516676</v>
      </c>
      <c r="BL346" s="11">
        <v>4308.3920693861883</v>
      </c>
      <c r="BM346" s="11">
        <v>4278.2201918673882</v>
      </c>
      <c r="BN346" s="11">
        <v>4247.6356528945189</v>
      </c>
      <c r="BO346" s="11">
        <v>4217.733676947033</v>
      </c>
      <c r="BP346" s="11">
        <v>4186.2915625906689</v>
      </c>
      <c r="BQ346" s="11">
        <v>4149.2501920298546</v>
      </c>
      <c r="BR346" s="11">
        <v>4112.8060655036788</v>
      </c>
      <c r="BS346" s="11">
        <v>4078.1683113845343</v>
      </c>
      <c r="BT346" s="11">
        <v>4041.8386234828918</v>
      </c>
      <c r="BU346" s="11">
        <v>4008.8901470312726</v>
      </c>
      <c r="BV346" s="11">
        <v>3977.9904343734015</v>
      </c>
    </row>
    <row r="347" spans="1:74" s="50" customFormat="1" ht="18" customHeight="1" x14ac:dyDescent="0.4">
      <c r="A347" s="856"/>
      <c r="B347" s="839" t="s">
        <v>71</v>
      </c>
      <c r="C347" s="866" t="str">
        <f t="shared" si="126"/>
        <v>4.D Wetlandskt CO2-eq WEM</v>
      </c>
      <c r="D347" s="891" t="s">
        <v>377</v>
      </c>
      <c r="E347" s="11" t="s">
        <v>29</v>
      </c>
      <c r="F347" s="89"/>
      <c r="G347" s="10" t="s">
        <v>132</v>
      </c>
      <c r="H347" s="89"/>
      <c r="I347" s="12"/>
      <c r="J347" s="12"/>
      <c r="K347" s="12"/>
      <c r="L347" s="12"/>
      <c r="M347" s="12"/>
      <c r="N347" s="12"/>
      <c r="O347" s="12"/>
      <c r="P347" s="12"/>
      <c r="Q347" s="12"/>
      <c r="R347" s="12"/>
      <c r="S347" s="12"/>
      <c r="T347" s="12"/>
      <c r="U347" s="12"/>
      <c r="V347" s="12"/>
      <c r="W347" s="12"/>
      <c r="X347" s="791"/>
      <c r="Y347" s="12"/>
      <c r="Z347" s="12"/>
      <c r="AA347" s="12"/>
      <c r="AB347" s="12"/>
      <c r="AC347" s="12"/>
      <c r="AD347" s="12"/>
      <c r="AE347" s="12"/>
      <c r="AF347" s="12"/>
      <c r="AG347" s="12"/>
      <c r="AH347" s="12"/>
      <c r="AI347" s="12"/>
      <c r="AJ347" s="12"/>
      <c r="AK347" s="12"/>
      <c r="AL347" s="12"/>
      <c r="AM347" s="12"/>
      <c r="AN347" s="12"/>
      <c r="AO347" s="12"/>
      <c r="AP347" s="12"/>
      <c r="AQ347" s="12"/>
      <c r="AR347" s="161">
        <f t="shared" si="125"/>
        <v>17.192248584685633</v>
      </c>
      <c r="AS347" s="11">
        <v>27.569728584685635</v>
      </c>
      <c r="AT347" s="11">
        <v>37.455983562744109</v>
      </c>
      <c r="AU347" s="11">
        <v>47.833463562744122</v>
      </c>
      <c r="AV347" s="11">
        <v>58.026466980082795</v>
      </c>
      <c r="AW347" s="704">
        <v>68.342902980082812</v>
      </c>
      <c r="AX347" s="11">
        <v>70.516912313416157</v>
      </c>
      <c r="AY347" s="11">
        <v>72.694148313416122</v>
      </c>
      <c r="AZ347" s="11">
        <v>74.871384313416129</v>
      </c>
      <c r="BA347" s="11">
        <v>76.929103698076872</v>
      </c>
      <c r="BB347" s="704">
        <v>79.10633969807688</v>
      </c>
      <c r="BC347" s="11">
        <v>81.25758333807687</v>
      </c>
      <c r="BD347" s="11">
        <v>83.434819338076863</v>
      </c>
      <c r="BE347" s="11">
        <v>85.612055338076843</v>
      </c>
      <c r="BF347" s="11">
        <v>87.789291338076879</v>
      </c>
      <c r="BG347" s="11">
        <v>89.966527338076872</v>
      </c>
      <c r="BH347" s="11">
        <v>92.143763338076866</v>
      </c>
      <c r="BI347" s="11">
        <v>94.320999338076859</v>
      </c>
      <c r="BJ347" s="11">
        <v>96.498235338076867</v>
      </c>
      <c r="BK347" s="11">
        <v>98.675471338076846</v>
      </c>
      <c r="BL347" s="11">
        <v>100.85270733807687</v>
      </c>
      <c r="BM347" s="11">
        <v>103.02994333807686</v>
      </c>
      <c r="BN347" s="11">
        <v>105.20717933807684</v>
      </c>
      <c r="BO347" s="11">
        <v>107.38441533807685</v>
      </c>
      <c r="BP347" s="11">
        <v>109.56165133807683</v>
      </c>
      <c r="BQ347" s="11">
        <v>111.73888733807686</v>
      </c>
      <c r="BR347" s="11">
        <v>113.91612333807687</v>
      </c>
      <c r="BS347" s="11">
        <v>116.09335933807687</v>
      </c>
      <c r="BT347" s="11">
        <v>118.27059533807689</v>
      </c>
      <c r="BU347" s="11">
        <v>120.44783133807685</v>
      </c>
      <c r="BV347" s="11">
        <v>122.62506733807689</v>
      </c>
    </row>
    <row r="348" spans="1:74" s="50" customFormat="1" ht="18" customHeight="1" x14ac:dyDescent="0.4">
      <c r="A348" s="856"/>
      <c r="B348" s="839" t="s">
        <v>85</v>
      </c>
      <c r="C348" s="866" t="str">
        <f t="shared" si="126"/>
        <v>LULUCF Annað WEM</v>
      </c>
      <c r="D348" s="891" t="s">
        <v>377</v>
      </c>
      <c r="E348" s="11" t="s">
        <v>11</v>
      </c>
      <c r="F348" s="89"/>
      <c r="G348" s="10" t="s">
        <v>120</v>
      </c>
      <c r="H348" s="89"/>
      <c r="I348" s="12"/>
      <c r="J348" s="12"/>
      <c r="K348" s="12"/>
      <c r="L348" s="12"/>
      <c r="M348" s="12"/>
      <c r="N348" s="12"/>
      <c r="O348" s="12"/>
      <c r="P348" s="12"/>
      <c r="Q348" s="12"/>
      <c r="R348" s="12"/>
      <c r="S348" s="12"/>
      <c r="T348" s="12"/>
      <c r="U348" s="12"/>
      <c r="V348" s="12"/>
      <c r="W348" s="12"/>
      <c r="X348" s="791"/>
      <c r="Y348" s="12"/>
      <c r="Z348" s="12"/>
      <c r="AA348" s="12"/>
      <c r="AB348" s="12"/>
      <c r="AC348" s="12"/>
      <c r="AD348" s="12"/>
      <c r="AE348" s="12"/>
      <c r="AF348" s="12"/>
      <c r="AG348" s="12"/>
      <c r="AH348" s="12"/>
      <c r="AI348" s="12"/>
      <c r="AJ348" s="12"/>
      <c r="AK348" s="12"/>
      <c r="AL348" s="12"/>
      <c r="AM348" s="12"/>
      <c r="AN348" s="12"/>
      <c r="AO348" s="12"/>
      <c r="AP348" s="12"/>
      <c r="AQ348" s="12"/>
      <c r="AR348" s="161">
        <f t="shared" si="125"/>
        <v>32.763450946138619</v>
      </c>
      <c r="AS348" s="11">
        <f t="shared" ref="AS348:BV348" si="127">AS$349-SUM(AS$344:AS$347)</f>
        <v>32.757361256578406</v>
      </c>
      <c r="AT348" s="11">
        <f t="shared" si="127"/>
        <v>32.719356057910773</v>
      </c>
      <c r="AU348" s="11">
        <f t="shared" si="127"/>
        <v>32.647392415559807</v>
      </c>
      <c r="AV348" s="11">
        <f t="shared" si="127"/>
        <v>32.629910369882964</v>
      </c>
      <c r="AW348" s="704">
        <f t="shared" si="127"/>
        <v>32.598154332262311</v>
      </c>
      <c r="AX348" s="11">
        <f>AX$349-SUM(AX$344:AX$347)</f>
        <v>32.58373048840167</v>
      </c>
      <c r="AY348" s="11">
        <f t="shared" si="127"/>
        <v>32.547127426004408</v>
      </c>
      <c r="AZ348" s="11">
        <f t="shared" si="127"/>
        <v>32.598171997316058</v>
      </c>
      <c r="BA348" s="11">
        <f t="shared" si="127"/>
        <v>32.604912718222295</v>
      </c>
      <c r="BB348" s="704">
        <f t="shared" si="127"/>
        <v>32.584874475192009</v>
      </c>
      <c r="BC348" s="11">
        <f t="shared" si="127"/>
        <v>32.607868729262918</v>
      </c>
      <c r="BD348" s="11">
        <f t="shared" si="127"/>
        <v>32.629863214259785</v>
      </c>
      <c r="BE348" s="11">
        <f t="shared" si="127"/>
        <v>32.610289275642572</v>
      </c>
      <c r="BF348" s="11">
        <f t="shared" si="127"/>
        <v>32.599278699379283</v>
      </c>
      <c r="BG348" s="11">
        <f t="shared" si="127"/>
        <v>32.610296674678466</v>
      </c>
      <c r="BH348" s="11">
        <f t="shared" si="127"/>
        <v>32.585410491502444</v>
      </c>
      <c r="BI348" s="11">
        <f t="shared" si="127"/>
        <v>32.574181024545396</v>
      </c>
      <c r="BJ348" s="11">
        <f t="shared" si="127"/>
        <v>32.580841707902437</v>
      </c>
      <c r="BK348" s="11">
        <f t="shared" si="127"/>
        <v>32.614143355626766</v>
      </c>
      <c r="BL348" s="11">
        <f t="shared" si="127"/>
        <v>32.622455265528515</v>
      </c>
      <c r="BM348" s="11">
        <f t="shared" si="127"/>
        <v>32.644576098605285</v>
      </c>
      <c r="BN348" s="11">
        <f t="shared" si="127"/>
        <v>32.677250055523473</v>
      </c>
      <c r="BO348" s="11">
        <f t="shared" si="127"/>
        <v>32.674050479925427</v>
      </c>
      <c r="BP348" s="11">
        <f t="shared" si="127"/>
        <v>32.589927176458332</v>
      </c>
      <c r="BQ348" s="11">
        <f t="shared" si="127"/>
        <v>32.564411347555506</v>
      </c>
      <c r="BR348" s="11">
        <f t="shared" si="127"/>
        <v>32.520226787743923</v>
      </c>
      <c r="BS348" s="11">
        <f t="shared" si="127"/>
        <v>32.487430154480535</v>
      </c>
      <c r="BT348" s="11">
        <f t="shared" si="127"/>
        <v>32.477218848349821</v>
      </c>
      <c r="BU348" s="11">
        <f t="shared" si="127"/>
        <v>32.470069405238064</v>
      </c>
      <c r="BV348" s="11">
        <f t="shared" si="127"/>
        <v>32.467548121219806</v>
      </c>
    </row>
    <row r="349" spans="1:74" s="50" customFormat="1" ht="18" customHeight="1" x14ac:dyDescent="0.4">
      <c r="A349" s="856"/>
      <c r="B349" s="839" t="s">
        <v>41</v>
      </c>
      <c r="C349" s="866" t="str">
        <f t="shared" ref="C349" si="128">B349&amp;" "&amp;D349</f>
        <v>4. LULUCFkt CO2-eq WEM</v>
      </c>
      <c r="D349" s="891" t="s">
        <v>377</v>
      </c>
      <c r="E349" s="14" t="s">
        <v>117</v>
      </c>
      <c r="F349" s="89"/>
      <c r="G349" s="14"/>
      <c r="H349" s="89"/>
      <c r="I349" s="12"/>
      <c r="J349" s="12"/>
      <c r="K349" s="12"/>
      <c r="L349" s="12"/>
      <c r="M349" s="12"/>
      <c r="N349" s="12"/>
      <c r="O349" s="12"/>
      <c r="P349" s="12"/>
      <c r="Q349" s="12"/>
      <c r="R349" s="12"/>
      <c r="S349" s="12"/>
      <c r="T349" s="12"/>
      <c r="U349" s="12"/>
      <c r="V349" s="12"/>
      <c r="W349" s="12"/>
      <c r="X349" s="791"/>
      <c r="Y349" s="12"/>
      <c r="Z349" s="12"/>
      <c r="AA349" s="12"/>
      <c r="AB349" s="12"/>
      <c r="AC349" s="12"/>
      <c r="AD349" s="12"/>
      <c r="AE349" s="12"/>
      <c r="AF349" s="12"/>
      <c r="AG349" s="12"/>
      <c r="AH349" s="12"/>
      <c r="AI349" s="12"/>
      <c r="AJ349" s="12"/>
      <c r="AK349" s="12"/>
      <c r="AL349" s="12"/>
      <c r="AM349" s="12"/>
      <c r="AN349" s="12"/>
      <c r="AO349" s="12"/>
      <c r="AP349" s="12"/>
      <c r="AQ349" s="12"/>
      <c r="AR349" s="161">
        <f t="shared" si="125"/>
        <v>6080.3410384327608</v>
      </c>
      <c r="AS349" s="14">
        <v>5971.4274562492774</v>
      </c>
      <c r="AT349" s="14">
        <v>5853.210682733772</v>
      </c>
      <c r="AU349" s="14">
        <v>5739.2983895927191</v>
      </c>
      <c r="AV349" s="14">
        <v>5629.8269681428146</v>
      </c>
      <c r="AW349" s="691">
        <v>5519.3423262110891</v>
      </c>
      <c r="AX349" s="14">
        <v>5455.4870570361609</v>
      </c>
      <c r="AY349" s="14">
        <v>5393.2904917396399</v>
      </c>
      <c r="AZ349" s="14">
        <v>5328.4676053510111</v>
      </c>
      <c r="BA349" s="14">
        <v>5271.5727773244034</v>
      </c>
      <c r="BB349" s="691">
        <v>5225.8620177609118</v>
      </c>
      <c r="BC349" s="14">
        <v>5175.4442546329956</v>
      </c>
      <c r="BD349" s="14">
        <v>5159.170006150026</v>
      </c>
      <c r="BE349" s="14">
        <v>5110.1961530579738</v>
      </c>
      <c r="BF349" s="14">
        <v>5058.4042521622086</v>
      </c>
      <c r="BG349" s="14">
        <v>5008.0700990507912</v>
      </c>
      <c r="BH349" s="14">
        <v>4946.8431438735988</v>
      </c>
      <c r="BI349" s="14">
        <v>4872.9937834490493</v>
      </c>
      <c r="BJ349" s="14">
        <v>4802.006859906337</v>
      </c>
      <c r="BK349" s="14">
        <v>4722.4123337830033</v>
      </c>
      <c r="BL349" s="14">
        <v>4650.2229004345827</v>
      </c>
      <c r="BM349" s="14">
        <v>4564.8340324253977</v>
      </c>
      <c r="BN349" s="14">
        <v>4480.0487375006414</v>
      </c>
      <c r="BO349" s="14">
        <v>4399.5154548936544</v>
      </c>
      <c r="BP349" s="14">
        <v>4317.597985213597</v>
      </c>
      <c r="BQ349" s="14">
        <v>4228.651507077424</v>
      </c>
      <c r="BR349" s="14">
        <v>4135.6514579384448</v>
      </c>
      <c r="BS349" s="14">
        <v>4050.7876785320909</v>
      </c>
      <c r="BT349" s="14">
        <v>3960.3143154877635</v>
      </c>
      <c r="BU349" s="14">
        <v>3869.3162309244071</v>
      </c>
      <c r="BV349" s="14">
        <v>3784.3948741814406</v>
      </c>
    </row>
    <row r="350" spans="1:74" s="50" customFormat="1" ht="18" customHeight="1" x14ac:dyDescent="0.4">
      <c r="A350" s="856"/>
      <c r="B350" s="839"/>
      <c r="C350" s="869"/>
      <c r="D350" s="891"/>
      <c r="E350" s="35"/>
      <c r="F350" s="90"/>
      <c r="G350" s="35"/>
      <c r="H350" s="90"/>
      <c r="I350" s="180"/>
      <c r="J350" s="180"/>
      <c r="K350" s="180"/>
      <c r="L350" s="180"/>
      <c r="M350" s="180"/>
      <c r="N350" s="180"/>
      <c r="O350" s="180"/>
      <c r="P350" s="180"/>
      <c r="Q350" s="180"/>
      <c r="R350" s="180"/>
      <c r="S350" s="180"/>
      <c r="T350" s="180"/>
      <c r="U350" s="180"/>
      <c r="V350" s="180"/>
      <c r="W350" s="180"/>
      <c r="X350" s="82"/>
      <c r="Y350" s="35"/>
      <c r="Z350" s="35"/>
      <c r="AA350" s="35"/>
      <c r="AB350" s="35"/>
      <c r="AC350" s="35"/>
      <c r="AD350" s="35"/>
      <c r="AE350" s="35"/>
      <c r="AF350" s="35"/>
      <c r="AG350" s="35"/>
      <c r="AH350" s="35"/>
      <c r="AI350" s="35"/>
      <c r="AJ350" s="35"/>
      <c r="AK350" s="35"/>
      <c r="AL350" s="35"/>
      <c r="AM350" s="35"/>
      <c r="AN350" s="35"/>
      <c r="AO350" s="35"/>
      <c r="AP350" s="35"/>
      <c r="AQ350" s="35"/>
      <c r="AR350" s="35"/>
      <c r="AS350" s="180"/>
      <c r="AT350" s="180"/>
      <c r="AU350" s="180"/>
      <c r="AV350" s="180"/>
      <c r="AW350" s="690"/>
      <c r="AX350" s="180"/>
      <c r="AY350" s="180"/>
      <c r="AZ350" s="180"/>
      <c r="BA350" s="180"/>
      <c r="BB350" s="792"/>
      <c r="BC350" s="180"/>
      <c r="BD350" s="180"/>
      <c r="BE350" s="180"/>
      <c r="BF350" s="180"/>
      <c r="BG350" s="180"/>
      <c r="BH350" s="180"/>
      <c r="BI350" s="180"/>
      <c r="BJ350" s="180"/>
      <c r="BK350" s="180"/>
      <c r="BL350" s="180"/>
      <c r="BM350" s="180"/>
      <c r="BN350" s="180"/>
      <c r="BO350" s="180"/>
      <c r="BP350" s="180"/>
      <c r="BQ350" s="180"/>
      <c r="BR350" s="180"/>
      <c r="BS350" s="180"/>
      <c r="BT350" s="180"/>
      <c r="BU350" s="180"/>
      <c r="BV350" s="180"/>
    </row>
    <row r="351" spans="1:74" s="91" customFormat="1" ht="15" customHeight="1" thickBot="1" x14ac:dyDescent="0.45">
      <c r="A351" s="849"/>
      <c r="B351" s="849"/>
      <c r="C351" s="882"/>
      <c r="D351" s="849"/>
      <c r="F351" s="1041"/>
      <c r="H351" s="1041"/>
      <c r="X351" s="798"/>
      <c r="AW351" s="698"/>
      <c r="BB351" s="798"/>
    </row>
    <row r="352" spans="1:74" ht="15" customHeight="1" thickTop="1" x14ac:dyDescent="0.4">
      <c r="B352" s="839"/>
      <c r="C352" s="876"/>
      <c r="D352" s="885"/>
      <c r="E352" s="5"/>
      <c r="F352" s="429"/>
      <c r="G352" s="5"/>
      <c r="H352" s="429"/>
      <c r="I352" s="5"/>
      <c r="J352" s="5"/>
      <c r="K352" s="5"/>
      <c r="L352" s="5"/>
      <c r="M352" s="5"/>
      <c r="N352" s="5"/>
      <c r="O352" s="5"/>
      <c r="P352" s="5"/>
      <c r="Q352" s="5"/>
      <c r="R352" s="5"/>
      <c r="S352" s="5"/>
      <c r="T352" s="5"/>
      <c r="U352" s="5"/>
      <c r="V352" s="5"/>
      <c r="W352" s="5"/>
      <c r="X352" s="793"/>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621"/>
      <c r="AX352" s="5"/>
      <c r="AY352" s="5"/>
      <c r="AZ352" s="5"/>
      <c r="BA352" s="5"/>
      <c r="BB352" s="793"/>
      <c r="BC352" s="5"/>
      <c r="BD352" s="5"/>
      <c r="BE352" s="5"/>
      <c r="BF352" s="5"/>
      <c r="BG352" s="5"/>
      <c r="BH352" s="5"/>
      <c r="BI352" s="5"/>
      <c r="BJ352" s="5"/>
      <c r="BK352" s="5"/>
      <c r="BL352" s="5"/>
      <c r="BM352" s="5"/>
      <c r="BN352" s="5"/>
      <c r="BO352" s="5"/>
      <c r="BP352" s="5"/>
      <c r="BQ352" s="5"/>
      <c r="BR352" s="5"/>
      <c r="BS352" s="5"/>
      <c r="BT352" s="5"/>
      <c r="BU352" s="5"/>
      <c r="BV352" s="5"/>
    </row>
    <row r="353" spans="74:74" x14ac:dyDescent="0.4">
      <c r="BV353" s="50"/>
    </row>
    <row r="354" spans="74:74" x14ac:dyDescent="0.4">
      <c r="BV354" s="50"/>
    </row>
    <row r="355" spans="74:74" x14ac:dyDescent="0.4">
      <c r="BV355" s="50"/>
    </row>
    <row r="356" spans="74:74" x14ac:dyDescent="0.4">
      <c r="BV356" s="50"/>
    </row>
    <row r="357" spans="74:74" x14ac:dyDescent="0.4">
      <c r="BV357" s="50"/>
    </row>
    <row r="358" spans="74:74" x14ac:dyDescent="0.4">
      <c r="BV358" s="50"/>
    </row>
    <row r="359" spans="74:74" x14ac:dyDescent="0.4">
      <c r="BV359" s="50"/>
    </row>
    <row r="360" spans="74:74" x14ac:dyDescent="0.4">
      <c r="BV360" s="50"/>
    </row>
    <row r="361" spans="74:74" x14ac:dyDescent="0.4">
      <c r="BV361" s="50"/>
    </row>
    <row r="362" spans="74:74" x14ac:dyDescent="0.4">
      <c r="BV362" s="50"/>
    </row>
    <row r="363" spans="74:74" x14ac:dyDescent="0.4">
      <c r="BV363" s="50"/>
    </row>
    <row r="364" spans="74:74" x14ac:dyDescent="0.4">
      <c r="BV364" s="50"/>
    </row>
    <row r="365" spans="74:74" x14ac:dyDescent="0.4">
      <c r="BV365" s="50"/>
    </row>
  </sheetData>
  <mergeCells count="4">
    <mergeCell ref="E315:E316"/>
    <mergeCell ref="G315:G316"/>
    <mergeCell ref="F315:F316"/>
    <mergeCell ref="H315:H316"/>
  </mergeCells>
  <conditionalFormatting sqref="B54:B67 B123:XFD127 AR152:AR180 B218:D224 B252:C252 BW272:XFD273 BW275:XFD275 I278:AV278 AX278 AS298:BV309 BW299:XFD310">
    <cfRule type="cellIs" dxfId="75" priority="576" operator="equal">
      <formula>0</formula>
    </cfRule>
  </conditionalFormatting>
  <conditionalFormatting sqref="B154:B158">
    <cfRule type="cellIs" dxfId="74" priority="59" operator="equal">
      <formula>0</formula>
    </cfRule>
  </conditionalFormatting>
  <conditionalFormatting sqref="B168:C168">
    <cfRule type="cellIs" dxfId="73" priority="54" operator="equal">
      <formula>0</formula>
    </cfRule>
  </conditionalFormatting>
  <conditionalFormatting sqref="B173:C173">
    <cfRule type="cellIs" dxfId="72" priority="53" operator="equal">
      <formula>0</formula>
    </cfRule>
  </conditionalFormatting>
  <conditionalFormatting sqref="B178:C178">
    <cfRule type="cellIs" dxfId="71" priority="52" operator="equal">
      <formula>0</formula>
    </cfRule>
  </conditionalFormatting>
  <conditionalFormatting sqref="B237:D241">
    <cfRule type="cellIs" dxfId="70" priority="139" operator="equal">
      <formula>0</formula>
    </cfRule>
  </conditionalFormatting>
  <conditionalFormatting sqref="B298:D308">
    <cfRule type="cellIs" dxfId="69" priority="132" operator="equal">
      <formula>0</formula>
    </cfRule>
  </conditionalFormatting>
  <conditionalFormatting sqref="B316:D316">
    <cfRule type="cellIs" dxfId="68" priority="127" operator="equal">
      <formula>0</formula>
    </cfRule>
  </conditionalFormatting>
  <conditionalFormatting sqref="B122:E122">
    <cfRule type="cellIs" dxfId="67" priority="84" operator="equal">
      <formula>0</formula>
    </cfRule>
  </conditionalFormatting>
  <conditionalFormatting sqref="B128:E132">
    <cfRule type="cellIs" dxfId="66" priority="73" operator="equal">
      <formula>0</formula>
    </cfRule>
  </conditionalFormatting>
  <conditionalFormatting sqref="B142:E142">
    <cfRule type="cellIs" dxfId="65" priority="67" operator="equal">
      <formula>0</formula>
    </cfRule>
  </conditionalFormatting>
  <conditionalFormatting sqref="B147:E147">
    <cfRule type="cellIs" dxfId="64" priority="64" operator="equal">
      <formula>0</formula>
    </cfRule>
  </conditionalFormatting>
  <conditionalFormatting sqref="B159:E163">
    <cfRule type="cellIs" dxfId="63" priority="55" operator="equal">
      <formula>0</formula>
    </cfRule>
  </conditionalFormatting>
  <conditionalFormatting sqref="B24:F24 BX206:XFD206">
    <cfRule type="cellIs" dxfId="62" priority="724" operator="equal">
      <formula>0</formula>
    </cfRule>
  </conditionalFormatting>
  <conditionalFormatting sqref="B137:G137">
    <cfRule type="cellIs" dxfId="61" priority="68" operator="equal">
      <formula>0</formula>
    </cfRule>
  </conditionalFormatting>
  <conditionalFormatting sqref="C153:E153">
    <cfRule type="cellIs" dxfId="60" priority="61" operator="equal">
      <formula>0</formula>
    </cfRule>
  </conditionalFormatting>
  <conditionalFormatting sqref="E168:G168">
    <cfRule type="cellIs" dxfId="59" priority="51" operator="equal">
      <formula>0</formula>
    </cfRule>
  </conditionalFormatting>
  <conditionalFormatting sqref="E173:G173">
    <cfRule type="cellIs" dxfId="58" priority="50" operator="equal">
      <formula>0</formula>
    </cfRule>
  </conditionalFormatting>
  <conditionalFormatting sqref="E178:G178">
    <cfRule type="cellIs" dxfId="57" priority="49" operator="equal">
      <formula>0</formula>
    </cfRule>
  </conditionalFormatting>
  <conditionalFormatting sqref="G122">
    <cfRule type="cellIs" dxfId="56" priority="83" operator="equal">
      <formula>0</formula>
    </cfRule>
  </conditionalFormatting>
  <conditionalFormatting sqref="G128">
    <cfRule type="cellIs" dxfId="55" priority="74" operator="equal">
      <formula>0</formula>
    </cfRule>
  </conditionalFormatting>
  <conditionalFormatting sqref="G142">
    <cfRule type="cellIs" dxfId="54" priority="66" operator="equal">
      <formula>0</formula>
    </cfRule>
  </conditionalFormatting>
  <conditionalFormatting sqref="G147">
    <cfRule type="cellIs" dxfId="53" priority="65" operator="equal">
      <formula>0</formula>
    </cfRule>
  </conditionalFormatting>
  <conditionalFormatting sqref="G153:G159">
    <cfRule type="cellIs" dxfId="52" priority="23" operator="equal">
      <formula>0</formula>
    </cfRule>
  </conditionalFormatting>
  <conditionalFormatting sqref="G184">
    <cfRule type="cellIs" dxfId="51" priority="91" operator="equal">
      <formula>0</formula>
    </cfRule>
  </conditionalFormatting>
  <conditionalFormatting sqref="H24:BV24">
    <cfRule type="cellIs" dxfId="50" priority="90" operator="equal">
      <formula>0</formula>
    </cfRule>
  </conditionalFormatting>
  <conditionalFormatting sqref="I86:I87 X334">
    <cfRule type="cellIs" dxfId="49" priority="809" operator="equal">
      <formula>1</formula>
    </cfRule>
  </conditionalFormatting>
  <conditionalFormatting sqref="I115:I118">
    <cfRule type="cellIs" dxfId="48" priority="807" operator="equal">
      <formula>1</formula>
    </cfRule>
  </conditionalFormatting>
  <conditionalFormatting sqref="I183:I184">
    <cfRule type="cellIs" dxfId="47" priority="95" operator="equal">
      <formula>1</formula>
    </cfRule>
  </conditionalFormatting>
  <conditionalFormatting sqref="I207">
    <cfRule type="cellIs" dxfId="46" priority="806" operator="equal">
      <formula>1</formula>
    </cfRule>
  </conditionalFormatting>
  <conditionalFormatting sqref="I227">
    <cfRule type="cellIs" dxfId="45" priority="805" operator="equal">
      <formula>1</formula>
    </cfRule>
  </conditionalFormatting>
  <conditionalFormatting sqref="I245">
    <cfRule type="cellIs" dxfId="44" priority="804" operator="equal">
      <formula>1</formula>
    </cfRule>
  </conditionalFormatting>
  <conditionalFormatting sqref="I261 K261 M261 O261 Q261 S261 U261 W261:X261">
    <cfRule type="cellIs" dxfId="43" priority="803" operator="equal">
      <formula>1</formula>
    </cfRule>
  </conditionalFormatting>
  <conditionalFormatting sqref="I112:AQ120">
    <cfRule type="cellIs" dxfId="42" priority="3" operator="equal">
      <formula>1</formula>
    </cfRule>
  </conditionalFormatting>
  <conditionalFormatting sqref="I133:AQ147 AR137 AR142 AR147">
    <cfRule type="cellIs" dxfId="41" priority="62" operator="equal">
      <formula>0</formula>
    </cfRule>
  </conditionalFormatting>
  <conditionalFormatting sqref="I150:AQ150">
    <cfRule type="cellIs" dxfId="40" priority="5" operator="equal">
      <formula>1</formula>
    </cfRule>
  </conditionalFormatting>
  <conditionalFormatting sqref="I151:AQ184 X297:AQ297">
    <cfRule type="cellIs" dxfId="39" priority="549" operator="equal">
      <formula>1</formula>
    </cfRule>
  </conditionalFormatting>
  <conditionalFormatting sqref="I216:AQ216">
    <cfRule type="cellIs" dxfId="38" priority="792" operator="equal">
      <formula>1</formula>
    </cfRule>
  </conditionalFormatting>
  <conditionalFormatting sqref="I224:AQ225">
    <cfRule type="cellIs" dxfId="37" priority="216" operator="equal">
      <formula>1</formula>
    </cfRule>
  </conditionalFormatting>
  <conditionalFormatting sqref="I228:AQ228">
    <cfRule type="cellIs" dxfId="36" priority="12" operator="equal">
      <formula>1</formula>
    </cfRule>
  </conditionalFormatting>
  <conditionalFormatting sqref="I235:AQ240">
    <cfRule type="cellIs" dxfId="35" priority="791" operator="equal">
      <formula>1</formula>
    </cfRule>
  </conditionalFormatting>
  <conditionalFormatting sqref="I252:AQ254">
    <cfRule type="cellIs" dxfId="34" priority="517" operator="equal">
      <formula>1</formula>
    </cfRule>
  </conditionalFormatting>
  <conditionalFormatting sqref="I121:AR149">
    <cfRule type="cellIs" dxfId="33" priority="63" operator="equal">
      <formula>1</formula>
    </cfRule>
  </conditionalFormatting>
  <conditionalFormatting sqref="I122:AR122">
    <cfRule type="cellIs" dxfId="32" priority="76" operator="equal">
      <formula>0</formula>
    </cfRule>
  </conditionalFormatting>
  <conditionalFormatting sqref="I128:AR132">
    <cfRule type="cellIs" dxfId="31" priority="69" operator="equal">
      <formula>0</formula>
    </cfRule>
  </conditionalFormatting>
  <conditionalFormatting sqref="I211:AR215 AS222:BV222 AS344:BV349">
    <cfRule type="cellIs" dxfId="30" priority="839" operator="equal">
      <formula>0</formula>
    </cfRule>
  </conditionalFormatting>
  <conditionalFormatting sqref="I242:AR243 AS253:BV256 AW297 AS298:BV307">
    <cfRule type="cellIs" dxfId="29" priority="706" operator="equal">
      <formula>1</formula>
    </cfRule>
  </conditionalFormatting>
  <conditionalFormatting sqref="I262:AV262 AX262">
    <cfRule type="cellIs" dxfId="28" priority="1" operator="equal">
      <formula>0</formula>
    </cfRule>
  </conditionalFormatting>
  <conditionalFormatting sqref="I270:AV270 AX270">
    <cfRule type="cellIs" dxfId="27" priority="2" operator="equal">
      <formula>0</formula>
    </cfRule>
  </conditionalFormatting>
  <conditionalFormatting sqref="I282:AV282 AX282">
    <cfRule type="cellIs" dxfId="26" priority="10" operator="equal">
      <formula>0</formula>
    </cfRule>
  </conditionalFormatting>
  <conditionalFormatting sqref="I279:BV279">
    <cfRule type="cellIs" dxfId="25" priority="188" operator="equal">
      <formula>0</formula>
    </cfRule>
  </conditionalFormatting>
  <conditionalFormatting sqref="X281">
    <cfRule type="cellIs" dxfId="24" priority="801" operator="equal">
      <formula>1</formula>
    </cfRule>
  </conditionalFormatting>
  <conditionalFormatting sqref="X319">
    <cfRule type="cellIs" dxfId="23" priority="800" operator="equal">
      <formula>1</formula>
    </cfRule>
  </conditionalFormatting>
  <conditionalFormatting sqref="X311:AQ311">
    <cfRule type="cellIs" dxfId="22" priority="181" operator="equal">
      <formula>1</formula>
    </cfRule>
  </conditionalFormatting>
  <conditionalFormatting sqref="X336:AR342">
    <cfRule type="cellIs" dxfId="21" priority="654" operator="equal">
      <formula>0</formula>
    </cfRule>
  </conditionalFormatting>
  <conditionalFormatting sqref="X350:AR350">
    <cfRule type="cellIs" dxfId="20" priority="11" operator="equal">
      <formula>0</formula>
    </cfRule>
  </conditionalFormatting>
  <conditionalFormatting sqref="AP246:AQ246">
    <cfRule type="cellIs" dxfId="19" priority="7" operator="equal">
      <formula>1</formula>
    </cfRule>
  </conditionalFormatting>
  <conditionalFormatting sqref="AP251:AQ251">
    <cfRule type="cellIs" dxfId="18" priority="9" operator="equal">
      <formula>1</formula>
    </cfRule>
  </conditionalFormatting>
  <conditionalFormatting sqref="AP254:AQ256">
    <cfRule type="cellIs" dxfId="17" priority="790" operator="equal">
      <formula>1</formula>
    </cfRule>
  </conditionalFormatting>
  <conditionalFormatting sqref="AR328:AR331">
    <cfRule type="cellIs" dxfId="16" priority="98" operator="equal">
      <formula>0</formula>
    </cfRule>
  </conditionalFormatting>
  <conditionalFormatting sqref="AR23:BV23 I50:I51">
    <cfRule type="cellIs" dxfId="15" priority="810" operator="equal">
      <formula>1</formula>
    </cfRule>
  </conditionalFormatting>
  <conditionalFormatting sqref="AS158">
    <cfRule type="cellIs" dxfId="14" priority="48" operator="equal">
      <formula>0</formula>
    </cfRule>
    <cfRule type="cellIs" dxfId="13" priority="47" operator="equal">
      <formula>1</formula>
    </cfRule>
  </conditionalFormatting>
  <conditionalFormatting sqref="AS168">
    <cfRule type="cellIs" dxfId="12" priority="44" operator="equal">
      <formula>1</formula>
    </cfRule>
    <cfRule type="cellIs" dxfId="11" priority="43" operator="equal">
      <formula>0</formula>
    </cfRule>
  </conditionalFormatting>
  <conditionalFormatting sqref="AS173">
    <cfRule type="cellIs" dxfId="10" priority="42" operator="equal">
      <formula>1</formula>
    </cfRule>
    <cfRule type="cellIs" dxfId="9" priority="41" operator="equal">
      <formula>0</formula>
    </cfRule>
  </conditionalFormatting>
  <conditionalFormatting sqref="AS178">
    <cfRule type="cellIs" dxfId="8" priority="39" operator="equal">
      <formula>0</formula>
    </cfRule>
    <cfRule type="cellIs" dxfId="7" priority="40" operator="equal">
      <formula>1</formula>
    </cfRule>
  </conditionalFormatting>
  <conditionalFormatting sqref="AS163:AV163 AX163:BV163">
    <cfRule type="cellIs" dxfId="6" priority="27" operator="equal">
      <formula>0</formula>
    </cfRule>
    <cfRule type="cellIs" dxfId="5" priority="26" operator="equal">
      <formula>1</formula>
    </cfRule>
  </conditionalFormatting>
  <conditionalFormatting sqref="AS246:BV246">
    <cfRule type="cellIs" dxfId="4" priority="6" operator="equal">
      <formula>1</formula>
    </cfRule>
  </conditionalFormatting>
  <conditionalFormatting sqref="AS251:BV251">
    <cfRule type="cellIs" dxfId="3" priority="8" operator="equal">
      <formula>1</formula>
    </cfRule>
  </conditionalFormatting>
  <conditionalFormatting sqref="AS309:BV317">
    <cfRule type="cellIs" dxfId="2" priority="18" operator="equal">
      <formula>1</formula>
    </cfRule>
  </conditionalFormatting>
  <conditionalFormatting sqref="BW39:XFD39 AS39:BV48">
    <cfRule type="cellIs" dxfId="1" priority="338" operator="equal">
      <formula>0</formula>
    </cfRule>
  </conditionalFormatting>
  <conditionalFormatting sqref="BY22:XFD22">
    <cfRule type="cellIs" dxfId="0" priority="308" operator="equal">
      <formula>0</formula>
    </cfRule>
  </conditionalFormatting>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E3482F43FF94DB1148F692C7322EE" ma:contentTypeVersion="22" ma:contentTypeDescription="Create a new document." ma:contentTypeScope="" ma:versionID="0a5a2a6dd78b800f19d8312d42347fe6">
  <xsd:schema xmlns:xsd="http://www.w3.org/2001/XMLSchema" xmlns:xs="http://www.w3.org/2001/XMLSchema" xmlns:p="http://schemas.microsoft.com/office/2006/metadata/properties" xmlns:ns2="79d748f2-4a39-4d23-8ef1-67e9c82c45e3" xmlns:ns3="3016e744-44d3-47c5-b09a-bdfbc0a59987" targetNamespace="http://schemas.microsoft.com/office/2006/metadata/properties" ma:root="true" ma:fieldsID="64f92742566831fdb9cc41431d40f9bf" ns2:_="" ns3:_="">
    <xsd:import namespace="79d748f2-4a39-4d23-8ef1-67e9c82c45e3"/>
    <xsd:import namespace="3016e744-44d3-47c5-b09a-bdfbc0a59987"/>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748f2-4a39-4d23-8ef1-67e9c82c45e3"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CR" ma:index="7" nillable="true" ma:displayName="Extracted Text" ma:internalName="MediaServiceOCR" ma:readOnly="true">
      <xsd:simpleType>
        <xsd:restriction base="dms:Note">
          <xsd:maxLength value="255"/>
        </xsd:restriction>
      </xsd:simpleType>
    </xsd:element>
    <xsd:element name="MediaServiceGenerationTime" ma:index="8" nillable="true" ma:displayName="MediaServiceGenerationTime" ma:hidden="true" ma:internalName="MediaServiceGenerationTime" ma:readOnly="true">
      <xsd:simpleType>
        <xsd:restriction base="dms:Text"/>
      </xsd:simpleType>
    </xsd:element>
    <xsd:element name="MediaServiceEventHashCode" ma:index="9" nillable="true" ma:displayName="MediaServiceEventHashCode" ma:hidden="true" ma:internalName="MediaServiceEventHashCode" ma:readOnly="true">
      <xsd:simpleType>
        <xsd:restriction base="dms:Text"/>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6e744-44d3-47c5-b09a-bdfbc0a59987"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497f070e-327e-410d-9578-d29855f97745}" ma:internalName="TaxCatchAll" ma:showField="CatchAllData" ma:web="3016e744-44d3-47c5-b09a-bdfbc0a59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d748f2-4a39-4d23-8ef1-67e9c82c45e3">
      <Terms xmlns="http://schemas.microsoft.com/office/infopath/2007/PartnerControls"/>
    </lcf76f155ced4ddcb4097134ff3c332f>
    <TaxCatchAll xmlns="3016e744-44d3-47c5-b09a-bdfbc0a59987" xsi:nil="true"/>
  </documentManagement>
</p:properties>
</file>

<file path=customXml/itemProps1.xml><?xml version="1.0" encoding="utf-8"?>
<ds:datastoreItem xmlns:ds="http://schemas.openxmlformats.org/officeDocument/2006/customXml" ds:itemID="{070F8777-A81E-47DD-B00A-106F39A57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748f2-4a39-4d23-8ef1-67e9c82c45e3"/>
    <ds:schemaRef ds:uri="3016e744-44d3-47c5-b09a-bdfbc0a59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24AD65-CE0C-4A0D-B94C-7D5043ECF243}">
  <ds:schemaRefs>
    <ds:schemaRef ds:uri="http://schemas.microsoft.com/sharepoint/v3/contenttype/forms"/>
  </ds:schemaRefs>
</ds:datastoreItem>
</file>

<file path=customXml/itemProps3.xml><?xml version="1.0" encoding="utf-8"?>
<ds:datastoreItem xmlns:ds="http://schemas.openxmlformats.org/officeDocument/2006/customXml" ds:itemID="{ACED9B97-9004-47FA-BB2A-E902AB845BDA}">
  <ds:schemaRefs>
    <ds:schemaRef ds:uri="3016e744-44d3-47c5-b09a-bdfbc0a59987"/>
    <ds:schemaRef ds:uri="http://purl.org/dc/elements/1.1/"/>
    <ds:schemaRef ds:uri="http://schemas.microsoft.com/office/2006/metadata/properties"/>
    <ds:schemaRef ds:uri="http://purl.org/dc/terms/"/>
    <ds:schemaRef ds:uri="79d748f2-4a39-4d23-8ef1-67e9c82c45e3"/>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Upplýsingar | Information</vt:lpstr>
      <vt:lpstr>Skuldbindingar | Obligations</vt:lpstr>
      <vt:lpstr>Losun | Emissions</vt:lpstr>
      <vt:lpstr>Talnagögn | Numerical Data</vt:lpstr>
      <vt:lpstr>°B1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Chanee Jónsdóttir Thianthong</dc:creator>
  <cp:lastModifiedBy>Chanee Jónsdóttir Thianthong - UOS</cp:lastModifiedBy>
  <dcterms:created xsi:type="dcterms:W3CDTF">2023-07-06T14:35:34Z</dcterms:created>
  <dcterms:modified xsi:type="dcterms:W3CDTF">2026-09-30T12:10:10Z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0x0101005E7E3482F43FF94DB1148F692C7322EE</vt:lpwstr>
  </property>
  <property fmtid="{D5CDD505-2E9C-101B-9397-08002B2CF9AE}" pid="3" name="MediaServiceImageTags">
    <vt:lpwstr/>
  </property>
</Properties>
</file>